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C:\Users\ped-sby\Work Folders\Documents\26. Arbetstid och flex\Flex LU 2024\Flex 2024\"/>
    </mc:Choice>
  </mc:AlternateContent>
  <xr:revisionPtr revIDLastSave="0" documentId="13_ncr:1_{FFDDC0F8-9B2A-4E16-9037-45ADF6C2D1C9}" xr6:coauthVersionLast="47" xr6:coauthVersionMax="47" xr10:uidLastSave="{00000000-0000-0000-0000-000000000000}"/>
  <workbookProtection workbookAlgorithmName="SHA-512" workbookHashValue="aYS1KdeJ2CFb7ROSnK2TvGwSfSODfjQSzybSOYcUZ9TVDEV3B+7PfQyLz1gJbiysoz62vHsWQt1rmHwDSKmynQ==" workbookSaltValue="f2dnp3P/BgBei4dHAKWZOA==" workbookSpinCount="100000" lockStructure="1"/>
  <bookViews>
    <workbookView xWindow="-103" yWindow="-103" windowWidth="22149" windowHeight="11949" tabRatio="766" xr2:uid="{00000000-000D-0000-FFFF-FFFF00000000}"/>
  </bookViews>
  <sheets>
    <sheet name="Grunddata" sheetId="1" r:id="rId1"/>
    <sheet name="Fridag" sheetId="92" state="hidden" r:id="rId2"/>
    <sheet name="Felinfo" sheetId="65" state="hidden" r:id="rId3"/>
    <sheet name="Normtid" sheetId="2" state="hidden" r:id="rId4"/>
    <sheet name="Exempel" sheetId="93" r:id="rId5"/>
    <sheet name="2024" sheetId="15" r:id="rId6"/>
    <sheet name="JAN" sheetId="81" r:id="rId7"/>
    <sheet name="FEB" sheetId="91" r:id="rId8"/>
    <sheet name="MARS" sheetId="80" r:id="rId9"/>
    <sheet name="APRIL" sheetId="87" r:id="rId10"/>
    <sheet name="MAJ" sheetId="82" r:id="rId11"/>
    <sheet name="JUNI" sheetId="88" r:id="rId12"/>
    <sheet name="JULI" sheetId="83" r:id="rId13"/>
    <sheet name="AUG" sheetId="84" r:id="rId14"/>
    <sheet name="SEP" sheetId="89" r:id="rId15"/>
    <sheet name="OKT" sheetId="85" r:id="rId16"/>
    <sheet name="NOV" sheetId="90" r:id="rId17"/>
    <sheet name="DEC" sheetId="86" r:id="rId18"/>
  </sheets>
  <definedNames>
    <definedName name="fel_1" localSheetId="9">IF(OR(namn="",p_nr=""),Felinfo!$C$4,"")</definedName>
    <definedName name="fel_1" localSheetId="13">IF(OR(namn="",p_nr=""),Felinfo!$C$4,"")</definedName>
    <definedName name="fel_1" localSheetId="17">IF(OR(namn="",p_nr=""),Felinfo!$C$4,"")</definedName>
    <definedName name="fel_1" localSheetId="4">IF(OR(namn="",p_nr=""),Felinfo!$C$4,"")</definedName>
    <definedName name="fel_1" localSheetId="7">IF(OR(namn="",p_nr=""),Felinfo!$C$4,"")</definedName>
    <definedName name="fel_1" localSheetId="6">IF(OR(namn="",p_nr=""),Felinfo!$C$4,"")</definedName>
    <definedName name="fel_1" localSheetId="12">IF(OR(namn="",p_nr=""),Felinfo!$C$4,"")</definedName>
    <definedName name="fel_1" localSheetId="11">IF(OR(namn="",p_nr=""),Felinfo!$C$4,"")</definedName>
    <definedName name="fel_1" localSheetId="10">IF(OR(namn="",p_nr=""),Felinfo!$C$4,"")</definedName>
    <definedName name="fel_1" localSheetId="8">IF(OR(namn="",p_nr=""),Felinfo!$C$4,"")</definedName>
    <definedName name="fel_1" localSheetId="16">IF(OR(namn="",p_nr=""),Felinfo!$C$4,"")</definedName>
    <definedName name="fel_1" localSheetId="15">IF(OR(namn="",p_nr=""),Felinfo!$C$4,"")</definedName>
    <definedName name="fel_1" localSheetId="14">IF(OR(namn="",p_nr=""),Felinfo!$C$4,"")</definedName>
    <definedName name="fel_1">IF(OR(namn="",p_nr=""),Felinfo!$C$4,"")</definedName>
    <definedName name="fel_2" localSheetId="9">IF(årssemester=0,Felinfo!$C$5,"")</definedName>
    <definedName name="fel_2" localSheetId="13">IF(årssemester=0,Felinfo!$C$5,"")</definedName>
    <definedName name="fel_2" localSheetId="17">IF(årssemester=0,Felinfo!$C$5,"")</definedName>
    <definedName name="fel_2" localSheetId="4">IF(årssemester=0,Felinfo!$C$5,"")</definedName>
    <definedName name="fel_2" localSheetId="7">IF(årssemester=0,Felinfo!$C$5,"")</definedName>
    <definedName name="fel_2" localSheetId="6">IF(årssemester=0,Felinfo!$C$5,"")</definedName>
    <definedName name="fel_2" localSheetId="12">IF(årssemester=0,Felinfo!$C$5,"")</definedName>
    <definedName name="fel_2" localSheetId="11">IF(årssemester=0,Felinfo!$C$5,"")</definedName>
    <definedName name="fel_2" localSheetId="10">IF(årssemester=0,Felinfo!$C$5,"")</definedName>
    <definedName name="fel_2" localSheetId="8">IF(årssemester=0,Felinfo!$C$5,"")</definedName>
    <definedName name="fel_2" localSheetId="16">IF(årssemester=0,Felinfo!$C$5,"")</definedName>
    <definedName name="fel_2" localSheetId="15">IF(årssemester=0,Felinfo!$C$5,"")</definedName>
    <definedName name="fel_2" localSheetId="14">IF(årssemester=0,Felinfo!$C$5,"")</definedName>
    <definedName name="fel_2">IF(årssemester=0,Felinfo!$C$5,"")</definedName>
    <definedName name="fel_3" localSheetId="9">IF(ISBLANK(Grunddata!$F$17),Felinfo!$C$6,"")</definedName>
    <definedName name="fel_3" localSheetId="13">IF(ISBLANK(Grunddata!$F$17),Felinfo!$C$6,"")</definedName>
    <definedName name="fel_3" localSheetId="17">IF(ISBLANK(Grunddata!$F$17),Felinfo!$C$6,"")</definedName>
    <definedName name="fel_3" localSheetId="4">IF(ISBLANK(Grunddata!$F$17),Felinfo!$C$6,"")</definedName>
    <definedName name="fel_3" localSheetId="7">IF(ISBLANK(Grunddata!$F$17),Felinfo!$C$6,"")</definedName>
    <definedName name="fel_3" localSheetId="6">IF(ISBLANK(Grunddata!$F$17),Felinfo!$C$6,"")</definedName>
    <definedName name="fel_3" localSheetId="12">IF(ISBLANK(Grunddata!$F$17),Felinfo!$C$6,"")</definedName>
    <definedName name="fel_3" localSheetId="11">IF(ISBLANK(Grunddata!$F$17),Felinfo!$C$6,"")</definedName>
    <definedName name="fel_3" localSheetId="10">IF(ISBLANK(Grunddata!$F$17),Felinfo!$C$6,"")</definedName>
    <definedName name="fel_3" localSheetId="8">IF(ISBLANK(Grunddata!$F$17),Felinfo!$C$6,"")</definedName>
    <definedName name="fel_3" localSheetId="16">IF(ISBLANK(Grunddata!$F$17),Felinfo!$C$6,"")</definedName>
    <definedName name="fel_3" localSheetId="15">IF(ISBLANK(Grunddata!$F$17),Felinfo!$C$6,"")</definedName>
    <definedName name="fel_3" localSheetId="14">IF(ISBLANK(Grunddata!$F$17),Felinfo!$C$6,"")</definedName>
    <definedName name="fel_3">IF(ISBLANK(flyttsaldo),Felinfo!$C$6,"")</definedName>
    <definedName name="fel_4">IF('2024'!$L$26&lt;0,Felinfo!$C$7,)</definedName>
    <definedName name="flex_över">Felinfo!$C$32</definedName>
    <definedName name="flexmax">Felinfo!$C$31</definedName>
    <definedName name="flyttsaldo">Grunddata!$F$17</definedName>
    <definedName name="inst">Grunddata!$C$20</definedName>
    <definedName name="namn">Grunddata!$C$16</definedName>
    <definedName name="normtid">Fridag!$E$3</definedName>
    <definedName name="p_nr">Grunddata!$C$17</definedName>
    <definedName name="semfel_1">Felinfo!$C$20</definedName>
    <definedName name="semfel_2">Felinfo!$C$22</definedName>
    <definedName name="slutdag">Grunddata!$G$22</definedName>
    <definedName name="startdag">Grunddata!$C$22</definedName>
    <definedName name="tjänst">Grunddata!$C$21</definedName>
    <definedName name="_xlnm.Print_Area" localSheetId="4">Exempel!$A$1:$O$56</definedName>
    <definedName name="_xlnm.Print_Titles" localSheetId="3">Normtid!$A:$A,Normtid!$1:$1</definedName>
    <definedName name="årssemester">Grunddata!$D$18</definedName>
    <definedName name="årtal">Fridag!$E$2</definedName>
    <definedName name="ändr_fel">Felinfo!$C$27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7" i="1" l="1"/>
  <c r="H18" i="1"/>
  <c r="F44" i="89"/>
  <c r="D44" i="89" s="1"/>
  <c r="C4" i="2"/>
  <c r="C5" i="2" s="1"/>
  <c r="F4" i="2"/>
  <c r="F5" i="2" s="1"/>
  <c r="O42" i="91"/>
  <c r="I4" i="2"/>
  <c r="I5" i="2" s="1"/>
  <c r="L4" i="2"/>
  <c r="L5" i="2" s="1"/>
  <c r="O4" i="2"/>
  <c r="O5" i="2" s="1"/>
  <c r="R4" i="2"/>
  <c r="R5" i="2" s="1"/>
  <c r="U4" i="2"/>
  <c r="U5" i="2" s="1"/>
  <c r="X4" i="2"/>
  <c r="X5" i="2" s="1"/>
  <c r="AA4" i="2"/>
  <c r="AA5" i="2" s="1"/>
  <c r="AB3" i="2" s="1"/>
  <c r="AD4" i="2"/>
  <c r="AD5" i="2" s="1"/>
  <c r="AG4" i="2"/>
  <c r="AG5" i="2" s="1"/>
  <c r="AJ4" i="2"/>
  <c r="AJ5" i="2" s="1"/>
  <c r="C20" i="65"/>
  <c r="B2" i="15"/>
  <c r="H1" i="1"/>
  <c r="C10" i="65"/>
  <c r="C4" i="65" s="1"/>
  <c r="C12" i="65"/>
  <c r="C15" i="65"/>
  <c r="C5" i="65"/>
  <c r="C13" i="65"/>
  <c r="C14" i="65"/>
  <c r="C6" i="65"/>
  <c r="C22" i="65"/>
  <c r="A27" i="65"/>
  <c r="C27" i="65"/>
  <c r="C32" i="65"/>
  <c r="D37" i="92"/>
  <c r="D38" i="92"/>
  <c r="C1" i="2"/>
  <c r="U1" i="2" s="1"/>
  <c r="A28" i="2"/>
  <c r="T35" i="2"/>
  <c r="A2" i="93"/>
  <c r="D13" i="93"/>
  <c r="D14" i="93"/>
  <c r="C44" i="93"/>
  <c r="C43" i="93"/>
  <c r="C42" i="93"/>
  <c r="C41" i="93"/>
  <c r="C40" i="93"/>
  <c r="C39" i="93"/>
  <c r="C38" i="93"/>
  <c r="C36" i="93"/>
  <c r="C35" i="93"/>
  <c r="C34" i="93"/>
  <c r="C33" i="93"/>
  <c r="C32" i="93"/>
  <c r="C31" i="93"/>
  <c r="C28" i="93"/>
  <c r="C27" i="93"/>
  <c r="C26" i="93"/>
  <c r="C25" i="93"/>
  <c r="C24" i="93"/>
  <c r="C23" i="93"/>
  <c r="C22" i="93"/>
  <c r="C20" i="93"/>
  <c r="C19" i="93"/>
  <c r="C18" i="93"/>
  <c r="C17" i="93"/>
  <c r="C16" i="93"/>
  <c r="C15" i="93"/>
  <c r="C14" i="93"/>
  <c r="B14" i="93"/>
  <c r="D8" i="93"/>
  <c r="K8" i="93"/>
  <c r="L8" i="93"/>
  <c r="K11" i="93"/>
  <c r="A46" i="93"/>
  <c r="B1" i="15"/>
  <c r="D5" i="15"/>
  <c r="D6" i="15"/>
  <c r="D7" i="15"/>
  <c r="D8" i="15"/>
  <c r="D9" i="15"/>
  <c r="N8" i="86"/>
  <c r="N8" i="90"/>
  <c r="N8" i="85"/>
  <c r="N8" i="89"/>
  <c r="N8" i="84"/>
  <c r="N8" i="83"/>
  <c r="N8" i="88"/>
  <c r="N8" i="82"/>
  <c r="N8" i="87"/>
  <c r="N8" i="80"/>
  <c r="N8" i="91"/>
  <c r="N8" i="81"/>
  <c r="A20" i="15"/>
  <c r="B26" i="15"/>
  <c r="A2" i="81"/>
  <c r="H8" i="81"/>
  <c r="O8" i="81"/>
  <c r="N11" i="81"/>
  <c r="A46" i="81"/>
  <c r="A2" i="91"/>
  <c r="H8" i="91"/>
  <c r="O8" i="91"/>
  <c r="N11" i="91"/>
  <c r="A46" i="91"/>
  <c r="A2" i="80"/>
  <c r="H8" i="80"/>
  <c r="O8" i="80"/>
  <c r="N11" i="80"/>
  <c r="A46" i="80"/>
  <c r="A2" i="87"/>
  <c r="H8" i="87"/>
  <c r="O8" i="87"/>
  <c r="N11" i="87"/>
  <c r="A46" i="87"/>
  <c r="A2" i="82"/>
  <c r="H8" i="82"/>
  <c r="O8" i="82"/>
  <c r="N11" i="82"/>
  <c r="A46" i="82"/>
  <c r="A2" i="88"/>
  <c r="H8" i="88"/>
  <c r="O8" i="88"/>
  <c r="N11" i="88"/>
  <c r="A46" i="88"/>
  <c r="A2" i="83"/>
  <c r="H8" i="83"/>
  <c r="O8" i="83"/>
  <c r="N11" i="83"/>
  <c r="A46" i="83"/>
  <c r="A2" i="84"/>
  <c r="H8" i="84"/>
  <c r="O8" i="84"/>
  <c r="N11" i="84"/>
  <c r="A46" i="84"/>
  <c r="A2" i="89"/>
  <c r="H8" i="89"/>
  <c r="O8" i="89"/>
  <c r="N11" i="89"/>
  <c r="A46" i="89"/>
  <c r="A2" i="85"/>
  <c r="H8" i="85"/>
  <c r="O8" i="85"/>
  <c r="N11" i="85"/>
  <c r="A46" i="85"/>
  <c r="A2" i="90"/>
  <c r="H8" i="90"/>
  <c r="O8" i="90"/>
  <c r="N11" i="90"/>
  <c r="A46" i="90"/>
  <c r="A2" i="86"/>
  <c r="H8" i="86"/>
  <c r="O8" i="86"/>
  <c r="N11" i="86"/>
  <c r="A46" i="86"/>
  <c r="F43" i="91"/>
  <c r="D43" i="91" s="1"/>
  <c r="E43" i="91" s="1"/>
  <c r="C43" i="91" s="1"/>
  <c r="F44" i="90"/>
  <c r="D44" i="90" s="1"/>
  <c r="F44" i="87"/>
  <c r="B44" i="87" s="1"/>
  <c r="F44" i="91"/>
  <c r="B44" i="91" s="1"/>
  <c r="F44" i="88"/>
  <c r="D44" i="88" s="1"/>
  <c r="E44" i="88" s="1"/>
  <c r="O4" i="93"/>
  <c r="D15" i="93"/>
  <c r="D16" i="93"/>
  <c r="D17" i="93" s="1"/>
  <c r="D18" i="93" s="1"/>
  <c r="N15" i="93"/>
  <c r="O15" i="93" s="1"/>
  <c r="F15" i="93"/>
  <c r="E15" i="93"/>
  <c r="E14" i="93"/>
  <c r="D47" i="93"/>
  <c r="D50" i="93"/>
  <c r="D49" i="93"/>
  <c r="M14" i="93"/>
  <c r="N14" i="93" s="1"/>
  <c r="O14" i="93" s="1"/>
  <c r="D46" i="93"/>
  <c r="B15" i="93"/>
  <c r="M15" i="93"/>
  <c r="E17" i="93"/>
  <c r="M17" i="93"/>
  <c r="N17" i="93" s="1"/>
  <c r="O17" i="93" s="1"/>
  <c r="F17" i="93"/>
  <c r="B17" i="93" s="1"/>
  <c r="D19" i="93"/>
  <c r="F19" i="93" s="1"/>
  <c r="E18" i="93"/>
  <c r="B19" i="93"/>
  <c r="D20" i="93"/>
  <c r="E19" i="93"/>
  <c r="E20" i="93"/>
  <c r="M19" i="93"/>
  <c r="N19" i="93" s="1"/>
  <c r="O19" i="93" s="1"/>
  <c r="P5" i="2" l="1"/>
  <c r="P3" i="2"/>
  <c r="H14" i="82"/>
  <c r="H14" i="86"/>
  <c r="H46" i="86" s="1"/>
  <c r="AJ6" i="2"/>
  <c r="AK3" i="2"/>
  <c r="AL5" i="2"/>
  <c r="O14" i="86" s="1"/>
  <c r="AK5" i="2"/>
  <c r="AH3" i="2"/>
  <c r="H14" i="90"/>
  <c r="AI5" i="2"/>
  <c r="O14" i="90" s="1"/>
  <c r="AH5" i="2"/>
  <c r="AG6" i="2"/>
  <c r="H14" i="80"/>
  <c r="K5" i="2"/>
  <c r="O14" i="80" s="1"/>
  <c r="I6" i="2"/>
  <c r="J5" i="2"/>
  <c r="J3" i="2"/>
  <c r="C18" i="15"/>
  <c r="O6" i="2"/>
  <c r="Q5" i="2"/>
  <c r="O14" i="82" s="1"/>
  <c r="H47" i="82"/>
  <c r="B44" i="88"/>
  <c r="B44" i="89"/>
  <c r="D44" i="91"/>
  <c r="E44" i="91" s="1"/>
  <c r="C44" i="91" s="1"/>
  <c r="E44" i="89"/>
  <c r="B43" i="91"/>
  <c r="M20" i="93"/>
  <c r="F20" i="93"/>
  <c r="D21" i="93"/>
  <c r="H14" i="89"/>
  <c r="AA6" i="2"/>
  <c r="AB5" i="2"/>
  <c r="AC5" i="2"/>
  <c r="O14" i="89" s="1"/>
  <c r="H14" i="84"/>
  <c r="X6" i="2"/>
  <c r="Z5" i="2"/>
  <c r="O14" i="84" s="1"/>
  <c r="Y3" i="2"/>
  <c r="Y5" i="2"/>
  <c r="V3" i="2"/>
  <c r="H14" i="83"/>
  <c r="W5" i="2"/>
  <c r="O14" i="83" s="1"/>
  <c r="U6" i="2"/>
  <c r="V5" i="2"/>
  <c r="H14" i="91"/>
  <c r="G5" i="2"/>
  <c r="G3" i="2"/>
  <c r="H5" i="2"/>
  <c r="O14" i="91" s="1"/>
  <c r="F6" i="2"/>
  <c r="F18" i="93"/>
  <c r="T5" i="2"/>
  <c r="O14" i="88" s="1"/>
  <c r="H14" i="88"/>
  <c r="S3" i="2"/>
  <c r="S5" i="2"/>
  <c r="R6" i="2"/>
  <c r="C6" i="2"/>
  <c r="H14" i="81"/>
  <c r="D5" i="2"/>
  <c r="D3" i="2"/>
  <c r="E5" i="2"/>
  <c r="O14" i="81" s="1"/>
  <c r="L6" i="2"/>
  <c r="H14" i="87"/>
  <c r="M5" i="2"/>
  <c r="M3" i="2"/>
  <c r="N5" i="2"/>
  <c r="O14" i="87" s="1"/>
  <c r="H14" i="85"/>
  <c r="AE5" i="2"/>
  <c r="AE3" i="2"/>
  <c r="AF5" i="2"/>
  <c r="O14" i="85" s="1"/>
  <c r="AD6" i="2"/>
  <c r="H49" i="86"/>
  <c r="H50" i="86"/>
  <c r="H50" i="82"/>
  <c r="F16" i="93"/>
  <c r="E16" i="93"/>
  <c r="F14" i="86"/>
  <c r="P43" i="91"/>
  <c r="C44" i="88"/>
  <c r="P44" i="88"/>
  <c r="D44" i="87"/>
  <c r="E44" i="87" s="1"/>
  <c r="B44" i="90"/>
  <c r="E44" i="90"/>
  <c r="H46" i="82" l="1"/>
  <c r="I14" i="82"/>
  <c r="H49" i="82"/>
  <c r="F14" i="82"/>
  <c r="P4" i="82"/>
  <c r="P5" i="82"/>
  <c r="B14" i="86"/>
  <c r="P44" i="91"/>
  <c r="P5" i="90"/>
  <c r="H50" i="90"/>
  <c r="I14" i="90"/>
  <c r="C24" i="15"/>
  <c r="F14" i="90"/>
  <c r="P4" i="90"/>
  <c r="H46" i="90"/>
  <c r="H49" i="90"/>
  <c r="H47" i="90"/>
  <c r="I7" i="2"/>
  <c r="J6" i="2"/>
  <c r="K6" i="2"/>
  <c r="O15" i="80" s="1"/>
  <c r="H15" i="80"/>
  <c r="H46" i="80"/>
  <c r="H50" i="80"/>
  <c r="F14" i="80"/>
  <c r="P4" i="80"/>
  <c r="H47" i="80"/>
  <c r="H49" i="80"/>
  <c r="P5" i="80"/>
  <c r="C16" i="15"/>
  <c r="I14" i="80"/>
  <c r="AI6" i="2"/>
  <c r="O15" i="90" s="1"/>
  <c r="AH6" i="2"/>
  <c r="H15" i="90"/>
  <c r="AG7" i="2"/>
  <c r="AK6" i="2"/>
  <c r="AJ7" i="2"/>
  <c r="AL6" i="2"/>
  <c r="O15" i="86" s="1"/>
  <c r="H15" i="86"/>
  <c r="H15" i="82"/>
  <c r="O7" i="2"/>
  <c r="Q6" i="2"/>
  <c r="O15" i="82" s="1"/>
  <c r="P6" i="2"/>
  <c r="C25" i="15"/>
  <c r="H47" i="86"/>
  <c r="I14" i="86"/>
  <c r="P5" i="86"/>
  <c r="P4" i="86"/>
  <c r="P44" i="89"/>
  <c r="C44" i="89"/>
  <c r="B16" i="93"/>
  <c r="M16" i="93"/>
  <c r="Y6" i="2"/>
  <c r="Z6" i="2"/>
  <c r="O15" i="84" s="1"/>
  <c r="H15" i="84"/>
  <c r="X7" i="2"/>
  <c r="W6" i="2"/>
  <c r="O15" i="83" s="1"/>
  <c r="U7" i="2"/>
  <c r="V6" i="2"/>
  <c r="H15" i="83"/>
  <c r="P5" i="84"/>
  <c r="H47" i="84"/>
  <c r="I14" i="84"/>
  <c r="F14" i="84"/>
  <c r="B14" i="84" s="1"/>
  <c r="C21" i="15"/>
  <c r="H46" i="84"/>
  <c r="H49" i="84"/>
  <c r="P4" i="84"/>
  <c r="H50" i="84"/>
  <c r="P5" i="85"/>
  <c r="H49" i="85"/>
  <c r="P4" i="85"/>
  <c r="I14" i="85"/>
  <c r="H46" i="85"/>
  <c r="H47" i="85"/>
  <c r="H50" i="85"/>
  <c r="F14" i="85"/>
  <c r="B14" i="85" s="1"/>
  <c r="C23" i="15"/>
  <c r="P5" i="81"/>
  <c r="P48" i="81"/>
  <c r="H50" i="81"/>
  <c r="I14" i="81"/>
  <c r="H49" i="81"/>
  <c r="F14" i="81"/>
  <c r="B14" i="81" s="1"/>
  <c r="C14" i="15"/>
  <c r="P4" i="81"/>
  <c r="H47" i="81"/>
  <c r="H46" i="81"/>
  <c r="B18" i="93"/>
  <c r="M18" i="93"/>
  <c r="N18" i="93" s="1"/>
  <c r="O18" i="93" s="1"/>
  <c r="D14" i="86"/>
  <c r="N16" i="93"/>
  <c r="O16" i="93" s="1"/>
  <c r="D6" i="2"/>
  <c r="C7" i="2"/>
  <c r="H15" i="81"/>
  <c r="E6" i="2"/>
  <c r="O15" i="81" s="1"/>
  <c r="F7" i="2"/>
  <c r="G6" i="2"/>
  <c r="H6" i="2"/>
  <c r="O15" i="91" s="1"/>
  <c r="H15" i="91"/>
  <c r="H46" i="83"/>
  <c r="I14" i="83"/>
  <c r="C20" i="15"/>
  <c r="F14" i="83"/>
  <c r="D14" i="83" s="1"/>
  <c r="H50" i="83"/>
  <c r="P5" i="83"/>
  <c r="H47" i="83"/>
  <c r="P4" i="83"/>
  <c r="H49" i="83"/>
  <c r="R7" i="2"/>
  <c r="S6" i="2"/>
  <c r="H15" i="88"/>
  <c r="T6" i="2"/>
  <c r="O15" i="88" s="1"/>
  <c r="H15" i="89"/>
  <c r="AA7" i="2"/>
  <c r="AB6" i="2"/>
  <c r="AC6" i="2"/>
  <c r="O15" i="89" s="1"/>
  <c r="H46" i="87"/>
  <c r="H49" i="87"/>
  <c r="C17" i="15"/>
  <c r="P4" i="87"/>
  <c r="F14" i="87"/>
  <c r="B14" i="87" s="1"/>
  <c r="P5" i="87"/>
  <c r="I14" i="87"/>
  <c r="H47" i="87"/>
  <c r="H50" i="87"/>
  <c r="F14" i="89"/>
  <c r="B14" i="89" s="1"/>
  <c r="H47" i="89"/>
  <c r="I14" i="89"/>
  <c r="H49" i="89"/>
  <c r="C22" i="15"/>
  <c r="P5" i="89"/>
  <c r="H50" i="89"/>
  <c r="P4" i="89"/>
  <c r="H46" i="89"/>
  <c r="D22" i="93"/>
  <c r="E21" i="93"/>
  <c r="F21" i="93"/>
  <c r="B21" i="93" s="1"/>
  <c r="N21" i="93"/>
  <c r="M21" i="93"/>
  <c r="AF6" i="2"/>
  <c r="O15" i="85" s="1"/>
  <c r="AD7" i="2"/>
  <c r="AE6" i="2"/>
  <c r="H15" i="85"/>
  <c r="H15" i="87"/>
  <c r="L7" i="2"/>
  <c r="N6" i="2"/>
  <c r="O15" i="87" s="1"/>
  <c r="M6" i="2"/>
  <c r="B20" i="93"/>
  <c r="N20" i="93"/>
  <c r="O20" i="93" s="1"/>
  <c r="P5" i="88"/>
  <c r="I14" i="88"/>
  <c r="F14" i="88"/>
  <c r="B14" i="88" s="1"/>
  <c r="H47" i="88"/>
  <c r="H50" i="88"/>
  <c r="P4" i="88"/>
  <c r="C19" i="15"/>
  <c r="H49" i="88"/>
  <c r="H46" i="88"/>
  <c r="H46" i="91"/>
  <c r="H50" i="91"/>
  <c r="P5" i="91"/>
  <c r="I14" i="91"/>
  <c r="H49" i="91"/>
  <c r="C15" i="15"/>
  <c r="P4" i="91"/>
  <c r="F14" i="91"/>
  <c r="B14" i="91" s="1"/>
  <c r="H47" i="91"/>
  <c r="C44" i="87"/>
  <c r="P44" i="87"/>
  <c r="P44" i="90"/>
  <c r="C44" i="90"/>
  <c r="B14" i="90" l="1"/>
  <c r="D14" i="90"/>
  <c r="E14" i="90" s="1"/>
  <c r="D14" i="91"/>
  <c r="E14" i="91" s="1"/>
  <c r="B14" i="82"/>
  <c r="D14" i="82"/>
  <c r="E14" i="82" s="1"/>
  <c r="P14" i="82" s="1"/>
  <c r="I15" i="82"/>
  <c r="F15" i="82"/>
  <c r="I15" i="86"/>
  <c r="F15" i="86"/>
  <c r="B15" i="86" s="1"/>
  <c r="D15" i="86"/>
  <c r="I15" i="80"/>
  <c r="H16" i="86"/>
  <c r="AK7" i="2"/>
  <c r="AJ8" i="2"/>
  <c r="AL7" i="2"/>
  <c r="O16" i="86" s="1"/>
  <c r="F15" i="80"/>
  <c r="B15" i="80" s="1"/>
  <c r="AH7" i="2"/>
  <c r="AG8" i="2"/>
  <c r="H16" i="90"/>
  <c r="AI7" i="2"/>
  <c r="O16" i="90" s="1"/>
  <c r="H16" i="80"/>
  <c r="I8" i="2"/>
  <c r="J7" i="2"/>
  <c r="K7" i="2"/>
  <c r="O16" i="80" s="1"/>
  <c r="I15" i="90"/>
  <c r="F15" i="90"/>
  <c r="B15" i="90" s="1"/>
  <c r="D15" i="90"/>
  <c r="O8" i="2"/>
  <c r="Q7" i="2"/>
  <c r="O16" i="82" s="1"/>
  <c r="H16" i="82"/>
  <c r="P7" i="2"/>
  <c r="D14" i="80"/>
  <c r="E14" i="80" s="1"/>
  <c r="B14" i="80"/>
  <c r="D14" i="89"/>
  <c r="E14" i="89" s="1"/>
  <c r="D14" i="88"/>
  <c r="E14" i="88" s="1"/>
  <c r="D14" i="84"/>
  <c r="E14" i="84" s="1"/>
  <c r="D14" i="81"/>
  <c r="E14" i="81" s="1"/>
  <c r="F15" i="91"/>
  <c r="I15" i="91"/>
  <c r="C21" i="93"/>
  <c r="O21" i="93"/>
  <c r="D14" i="87"/>
  <c r="AB7" i="2"/>
  <c r="AC7" i="2"/>
  <c r="O16" i="89" s="1"/>
  <c r="H16" i="89"/>
  <c r="AA8" i="2"/>
  <c r="D14" i="85"/>
  <c r="E14" i="85" s="1"/>
  <c r="Z7" i="2"/>
  <c r="O16" i="84" s="1"/>
  <c r="H16" i="84"/>
  <c r="Y7" i="2"/>
  <c r="X8" i="2"/>
  <c r="M7" i="2"/>
  <c r="N7" i="2"/>
  <c r="O16" i="87" s="1"/>
  <c r="H16" i="87"/>
  <c r="L8" i="2"/>
  <c r="F15" i="89"/>
  <c r="B15" i="89" s="1"/>
  <c r="I15" i="89"/>
  <c r="H7" i="2"/>
  <c r="O16" i="91" s="1"/>
  <c r="H16" i="91"/>
  <c r="G7" i="2"/>
  <c r="F8" i="2"/>
  <c r="I15" i="84"/>
  <c r="F15" i="84"/>
  <c r="F15" i="87"/>
  <c r="D15" i="87" s="1"/>
  <c r="I15" i="87"/>
  <c r="E14" i="83"/>
  <c r="B14" i="83"/>
  <c r="I15" i="83"/>
  <c r="F15" i="83"/>
  <c r="F15" i="85"/>
  <c r="B15" i="85" s="1"/>
  <c r="I15" i="85"/>
  <c r="D23" i="93"/>
  <c r="F22" i="93"/>
  <c r="M22" i="93" s="1"/>
  <c r="E22" i="93"/>
  <c r="N22" i="93"/>
  <c r="O22" i="93" s="1"/>
  <c r="F15" i="88"/>
  <c r="D15" i="88" s="1"/>
  <c r="I15" i="88"/>
  <c r="I15" i="81"/>
  <c r="F15" i="81"/>
  <c r="D15" i="81" s="1"/>
  <c r="E15" i="81" s="1"/>
  <c r="E14" i="86"/>
  <c r="E7" i="2"/>
  <c r="O16" i="81" s="1"/>
  <c r="H16" i="81"/>
  <c r="C8" i="2"/>
  <c r="D7" i="2"/>
  <c r="U8" i="2"/>
  <c r="H16" i="83"/>
  <c r="W7" i="2"/>
  <c r="O16" i="83" s="1"/>
  <c r="V7" i="2"/>
  <c r="AE7" i="2"/>
  <c r="AF7" i="2"/>
  <c r="O16" i="85" s="1"/>
  <c r="AD8" i="2"/>
  <c r="H16" i="85"/>
  <c r="H16" i="88"/>
  <c r="T7" i="2"/>
  <c r="O16" i="88" s="1"/>
  <c r="R8" i="2"/>
  <c r="S7" i="2"/>
  <c r="D15" i="80" l="1"/>
  <c r="E15" i="80" s="1"/>
  <c r="P15" i="80" s="1"/>
  <c r="C14" i="82"/>
  <c r="E15" i="90"/>
  <c r="P15" i="90" s="1"/>
  <c r="P14" i="90"/>
  <c r="C14" i="90"/>
  <c r="H17" i="90"/>
  <c r="AG9" i="2"/>
  <c r="AI8" i="2"/>
  <c r="O17" i="90" s="1"/>
  <c r="AH8" i="2"/>
  <c r="P14" i="80"/>
  <c r="C14" i="80"/>
  <c r="E15" i="86"/>
  <c r="I16" i="82"/>
  <c r="F16" i="82"/>
  <c r="B16" i="82" s="1"/>
  <c r="J8" i="2"/>
  <c r="H17" i="80"/>
  <c r="I9" i="2"/>
  <c r="K8" i="2"/>
  <c r="O17" i="80" s="1"/>
  <c r="AJ9" i="2"/>
  <c r="AK8" i="2"/>
  <c r="H17" i="86"/>
  <c r="AL8" i="2"/>
  <c r="O17" i="86" s="1"/>
  <c r="I16" i="80"/>
  <c r="F16" i="80"/>
  <c r="B16" i="80" s="1"/>
  <c r="P8" i="2"/>
  <c r="H17" i="82"/>
  <c r="Q8" i="2"/>
  <c r="O17" i="82" s="1"/>
  <c r="O9" i="2"/>
  <c r="F16" i="86"/>
  <c r="B16" i="86" s="1"/>
  <c r="I16" i="86"/>
  <c r="D16" i="86"/>
  <c r="D15" i="82"/>
  <c r="E15" i="82" s="1"/>
  <c r="B15" i="82"/>
  <c r="I16" i="90"/>
  <c r="F16" i="90"/>
  <c r="D16" i="90"/>
  <c r="P14" i="81"/>
  <c r="C14" i="81"/>
  <c r="D15" i="85"/>
  <c r="E15" i="85" s="1"/>
  <c r="E15" i="87"/>
  <c r="P15" i="87" s="1"/>
  <c r="E15" i="88"/>
  <c r="F16" i="84"/>
  <c r="D16" i="84" s="1"/>
  <c r="I16" i="84"/>
  <c r="E23" i="93"/>
  <c r="F23" i="93"/>
  <c r="B23" i="93" s="1"/>
  <c r="D24" i="93"/>
  <c r="N23" i="93"/>
  <c r="O23" i="93" s="1"/>
  <c r="B15" i="84"/>
  <c r="H17" i="88"/>
  <c r="S8" i="2"/>
  <c r="T8" i="2"/>
  <c r="O17" i="88" s="1"/>
  <c r="R9" i="2"/>
  <c r="B15" i="83"/>
  <c r="M8" i="2"/>
  <c r="H17" i="87"/>
  <c r="N8" i="2"/>
  <c r="O17" i="87" s="1"/>
  <c r="L9" i="2"/>
  <c r="E14" i="87"/>
  <c r="B15" i="91"/>
  <c r="P14" i="91"/>
  <c r="C14" i="91"/>
  <c r="F16" i="88"/>
  <c r="B16" i="88" s="1"/>
  <c r="I16" i="88"/>
  <c r="I16" i="85"/>
  <c r="F16" i="85"/>
  <c r="B16" i="85" s="1"/>
  <c r="F16" i="83"/>
  <c r="B16" i="83" s="1"/>
  <c r="I16" i="83"/>
  <c r="B15" i="88"/>
  <c r="F16" i="87"/>
  <c r="B16" i="87" s="1"/>
  <c r="I16" i="87"/>
  <c r="F16" i="81"/>
  <c r="B16" i="81" s="1"/>
  <c r="I16" i="81"/>
  <c r="H17" i="85"/>
  <c r="AF8" i="2"/>
  <c r="O17" i="85" s="1"/>
  <c r="AD9" i="2"/>
  <c r="AE8" i="2"/>
  <c r="H17" i="83"/>
  <c r="W8" i="2"/>
  <c r="O17" i="83" s="1"/>
  <c r="U9" i="2"/>
  <c r="V8" i="2"/>
  <c r="P14" i="86"/>
  <c r="C14" i="86"/>
  <c r="P14" i="83"/>
  <c r="C14" i="83"/>
  <c r="Y8" i="2"/>
  <c r="X9" i="2"/>
  <c r="H17" i="84"/>
  <c r="Z8" i="2"/>
  <c r="O17" i="84" s="1"/>
  <c r="C14" i="84"/>
  <c r="P14" i="84"/>
  <c r="D8" i="2"/>
  <c r="E8" i="2"/>
  <c r="O17" i="81" s="1"/>
  <c r="C9" i="2"/>
  <c r="H17" i="81"/>
  <c r="B15" i="81"/>
  <c r="P14" i="89"/>
  <c r="C14" i="89"/>
  <c r="D15" i="84"/>
  <c r="H8" i="2"/>
  <c r="O17" i="91" s="1"/>
  <c r="H17" i="91"/>
  <c r="F9" i="2"/>
  <c r="G8" i="2"/>
  <c r="H17" i="89"/>
  <c r="AB8" i="2"/>
  <c r="AA9" i="2"/>
  <c r="AC8" i="2"/>
  <c r="O17" i="89" s="1"/>
  <c r="P15" i="81"/>
  <c r="C15" i="81"/>
  <c r="P14" i="85"/>
  <c r="C14" i="85"/>
  <c r="F16" i="91"/>
  <c r="B16" i="91" s="1"/>
  <c r="I16" i="91"/>
  <c r="D15" i="91"/>
  <c r="P14" i="88"/>
  <c r="C14" i="88"/>
  <c r="F16" i="89"/>
  <c r="B16" i="89" s="1"/>
  <c r="I16" i="89"/>
  <c r="B22" i="93"/>
  <c r="D15" i="83"/>
  <c r="B15" i="87"/>
  <c r="D15" i="89"/>
  <c r="E15" i="89" s="1"/>
  <c r="D16" i="82" l="1"/>
  <c r="E16" i="82" s="1"/>
  <c r="D16" i="80"/>
  <c r="E16" i="80" s="1"/>
  <c r="C16" i="80" s="1"/>
  <c r="C15" i="90"/>
  <c r="C15" i="80"/>
  <c r="C15" i="82"/>
  <c r="P15" i="82"/>
  <c r="E16" i="86"/>
  <c r="I17" i="80"/>
  <c r="F17" i="80"/>
  <c r="B17" i="80" s="1"/>
  <c r="P9" i="2"/>
  <c r="O10" i="2"/>
  <c r="Q9" i="2"/>
  <c r="O18" i="82" s="1"/>
  <c r="H18" i="82"/>
  <c r="I17" i="90"/>
  <c r="F17" i="90"/>
  <c r="B17" i="90" s="1"/>
  <c r="D17" i="90"/>
  <c r="B16" i="90"/>
  <c r="E16" i="90"/>
  <c r="F17" i="86"/>
  <c r="B17" i="86" s="1"/>
  <c r="I17" i="86"/>
  <c r="D17" i="86"/>
  <c r="AG10" i="2"/>
  <c r="AI9" i="2"/>
  <c r="O18" i="90" s="1"/>
  <c r="H18" i="90"/>
  <c r="AH9" i="2"/>
  <c r="F17" i="82"/>
  <c r="B17" i="82" s="1"/>
  <c r="I17" i="82"/>
  <c r="C15" i="86"/>
  <c r="P15" i="86"/>
  <c r="AJ10" i="2"/>
  <c r="AK9" i="2"/>
  <c r="H18" i="86"/>
  <c r="AL9" i="2"/>
  <c r="O18" i="86" s="1"/>
  <c r="J9" i="2"/>
  <c r="K9" i="2"/>
  <c r="O18" i="80" s="1"/>
  <c r="I10" i="2"/>
  <c r="H18" i="80"/>
  <c r="D16" i="83"/>
  <c r="E16" i="83" s="1"/>
  <c r="P16" i="83" s="1"/>
  <c r="D16" i="87"/>
  <c r="E16" i="87" s="1"/>
  <c r="C15" i="87"/>
  <c r="D16" i="85"/>
  <c r="E16" i="85" s="1"/>
  <c r="P16" i="85" s="1"/>
  <c r="C15" i="89"/>
  <c r="P15" i="89"/>
  <c r="F17" i="83"/>
  <c r="B17" i="83" s="1"/>
  <c r="I17" i="83"/>
  <c r="I17" i="89"/>
  <c r="F17" i="89"/>
  <c r="B17" i="89" s="1"/>
  <c r="D16" i="81"/>
  <c r="E16" i="81" s="1"/>
  <c r="L10" i="2"/>
  <c r="N9" i="2"/>
  <c r="O18" i="87" s="1"/>
  <c r="H18" i="87"/>
  <c r="M9" i="2"/>
  <c r="D16" i="88"/>
  <c r="E16" i="88" s="1"/>
  <c r="F17" i="88"/>
  <c r="D17" i="88" s="1"/>
  <c r="E17" i="88" s="1"/>
  <c r="I17" i="88"/>
  <c r="M23" i="93"/>
  <c r="P15" i="88"/>
  <c r="C15" i="88"/>
  <c r="F10" i="2"/>
  <c r="G9" i="2"/>
  <c r="H18" i="91"/>
  <c r="H9" i="2"/>
  <c r="O18" i="91" s="1"/>
  <c r="I17" i="81"/>
  <c r="F17" i="81"/>
  <c r="D17" i="81" s="1"/>
  <c r="AD10" i="2"/>
  <c r="AF9" i="2"/>
  <c r="O18" i="85" s="1"/>
  <c r="H18" i="85"/>
  <c r="AE9" i="2"/>
  <c r="F17" i="87"/>
  <c r="D17" i="87" s="1"/>
  <c r="I17" i="87"/>
  <c r="D25" i="93"/>
  <c r="E24" i="93"/>
  <c r="F24" i="93"/>
  <c r="M24" i="93" s="1"/>
  <c r="E15" i="91"/>
  <c r="D16" i="91"/>
  <c r="E16" i="91" s="1"/>
  <c r="F17" i="91"/>
  <c r="B17" i="91" s="1"/>
  <c r="I17" i="91"/>
  <c r="H18" i="81"/>
  <c r="D9" i="2"/>
  <c r="E9" i="2"/>
  <c r="O18" i="81" s="1"/>
  <c r="C10" i="2"/>
  <c r="E15" i="83"/>
  <c r="C14" i="87"/>
  <c r="P14" i="87"/>
  <c r="F17" i="84"/>
  <c r="D17" i="84" s="1"/>
  <c r="I17" i="84"/>
  <c r="I17" i="85"/>
  <c r="F17" i="85"/>
  <c r="D17" i="85" s="1"/>
  <c r="C15" i="85"/>
  <c r="P15" i="85"/>
  <c r="D16" i="89"/>
  <c r="E16" i="89" s="1"/>
  <c r="AB9" i="2"/>
  <c r="H18" i="89"/>
  <c r="AA10" i="2"/>
  <c r="AC9" i="2"/>
  <c r="O18" i="89" s="1"/>
  <c r="E15" i="84"/>
  <c r="Z9" i="2"/>
  <c r="O18" i="84" s="1"/>
  <c r="Y9" i="2"/>
  <c r="X10" i="2"/>
  <c r="H18" i="84"/>
  <c r="W9" i="2"/>
  <c r="O18" i="83" s="1"/>
  <c r="H18" i="83"/>
  <c r="U10" i="2"/>
  <c r="V9" i="2"/>
  <c r="T9" i="2"/>
  <c r="O18" i="88" s="1"/>
  <c r="H18" i="88"/>
  <c r="S9" i="2"/>
  <c r="R10" i="2"/>
  <c r="E16" i="84"/>
  <c r="B16" i="84"/>
  <c r="D17" i="82" l="1"/>
  <c r="E17" i="82" s="1"/>
  <c r="D17" i="80"/>
  <c r="E17" i="80" s="1"/>
  <c r="P16" i="80"/>
  <c r="E17" i="90"/>
  <c r="C17" i="90" s="1"/>
  <c r="E17" i="86"/>
  <c r="P17" i="86" s="1"/>
  <c r="C16" i="82"/>
  <c r="P16" i="82"/>
  <c r="Q10" i="2"/>
  <c r="O19" i="82" s="1"/>
  <c r="P10" i="2"/>
  <c r="O11" i="2"/>
  <c r="H19" i="82"/>
  <c r="P16" i="90"/>
  <c r="C16" i="90"/>
  <c r="I18" i="86"/>
  <c r="F18" i="86"/>
  <c r="B18" i="86" s="1"/>
  <c r="D18" i="86"/>
  <c r="I18" i="80"/>
  <c r="F18" i="80"/>
  <c r="I18" i="90"/>
  <c r="F18" i="90"/>
  <c r="B18" i="90" s="1"/>
  <c r="D18" i="90"/>
  <c r="I11" i="2"/>
  <c r="K10" i="2"/>
  <c r="O19" i="80" s="1"/>
  <c r="J10" i="2"/>
  <c r="H19" i="80"/>
  <c r="H19" i="86"/>
  <c r="AK10" i="2"/>
  <c r="AL10" i="2"/>
  <c r="O19" i="86" s="1"/>
  <c r="AJ11" i="2"/>
  <c r="AH10" i="2"/>
  <c r="AI10" i="2"/>
  <c r="O19" i="90" s="1"/>
  <c r="AG11" i="2"/>
  <c r="H19" i="90"/>
  <c r="C16" i="86"/>
  <c r="P16" i="86"/>
  <c r="I18" i="82"/>
  <c r="F18" i="82"/>
  <c r="C16" i="83"/>
  <c r="E17" i="85"/>
  <c r="C17" i="85" s="1"/>
  <c r="C16" i="85"/>
  <c r="C16" i="87"/>
  <c r="P16" i="87"/>
  <c r="E17" i="87"/>
  <c r="P17" i="87" s="1"/>
  <c r="D17" i="89"/>
  <c r="E17" i="89" s="1"/>
  <c r="P16" i="88"/>
  <c r="C16" i="88"/>
  <c r="F18" i="88"/>
  <c r="I18" i="88"/>
  <c r="F18" i="83"/>
  <c r="B18" i="83" s="1"/>
  <c r="I18" i="83"/>
  <c r="N24" i="93"/>
  <c r="O24" i="93" s="1"/>
  <c r="D17" i="83"/>
  <c r="E17" i="83" s="1"/>
  <c r="E17" i="84"/>
  <c r="B17" i="84"/>
  <c r="F25" i="93"/>
  <c r="B25" i="93" s="1"/>
  <c r="M25" i="93"/>
  <c r="N25" i="93" s="1"/>
  <c r="O25" i="93" s="1"/>
  <c r="E25" i="93"/>
  <c r="D26" i="93"/>
  <c r="E17" i="81"/>
  <c r="B17" i="81"/>
  <c r="P15" i="84"/>
  <c r="C15" i="84"/>
  <c r="P16" i="84"/>
  <c r="C16" i="84"/>
  <c r="S10" i="2"/>
  <c r="T10" i="2"/>
  <c r="O19" i="88" s="1"/>
  <c r="R11" i="2"/>
  <c r="H19" i="88"/>
  <c r="P16" i="91"/>
  <c r="C16" i="91"/>
  <c r="F18" i="81"/>
  <c r="B18" i="81" s="1"/>
  <c r="I18" i="81"/>
  <c r="C17" i="88"/>
  <c r="P17" i="88"/>
  <c r="D10" i="2"/>
  <c r="H19" i="81"/>
  <c r="E10" i="2"/>
  <c r="O19" i="81" s="1"/>
  <c r="C11" i="2"/>
  <c r="C16" i="81"/>
  <c r="P16" i="81"/>
  <c r="AC10" i="2"/>
  <c r="O19" i="89" s="1"/>
  <c r="AA11" i="2"/>
  <c r="AB10" i="2"/>
  <c r="H19" i="89"/>
  <c r="B17" i="85"/>
  <c r="P15" i="83"/>
  <c r="C15" i="83"/>
  <c r="I18" i="85"/>
  <c r="F18" i="85"/>
  <c r="B18" i="85" s="1"/>
  <c r="F18" i="91"/>
  <c r="B18" i="91" s="1"/>
  <c r="I18" i="91"/>
  <c r="B17" i="88"/>
  <c r="I18" i="87"/>
  <c r="F18" i="87"/>
  <c r="B18" i="87" s="1"/>
  <c r="D17" i="91"/>
  <c r="E17" i="91" s="1"/>
  <c r="P15" i="91"/>
  <c r="C15" i="91"/>
  <c r="B17" i="87"/>
  <c r="I18" i="84"/>
  <c r="F18" i="84"/>
  <c r="B18" i="84" s="1"/>
  <c r="F18" i="89"/>
  <c r="D18" i="89" s="1"/>
  <c r="I18" i="89"/>
  <c r="W10" i="2"/>
  <c r="O19" i="83" s="1"/>
  <c r="V10" i="2"/>
  <c r="U11" i="2"/>
  <c r="H19" i="83"/>
  <c r="X11" i="2"/>
  <c r="Z10" i="2"/>
  <c r="O19" i="84" s="1"/>
  <c r="Y10" i="2"/>
  <c r="H19" i="84"/>
  <c r="P16" i="89"/>
  <c r="C16" i="89"/>
  <c r="B24" i="93"/>
  <c r="AF10" i="2"/>
  <c r="O19" i="85" s="1"/>
  <c r="AD11" i="2"/>
  <c r="H19" i="85"/>
  <c r="AE10" i="2"/>
  <c r="H19" i="91"/>
  <c r="H10" i="2"/>
  <c r="O19" i="91" s="1"/>
  <c r="G10" i="2"/>
  <c r="F11" i="2"/>
  <c r="L11" i="2"/>
  <c r="M10" i="2"/>
  <c r="H19" i="87"/>
  <c r="N10" i="2"/>
  <c r="O19" i="87" s="1"/>
  <c r="P17" i="90" l="1"/>
  <c r="C17" i="86"/>
  <c r="E18" i="86"/>
  <c r="P18" i="86" s="1"/>
  <c r="E18" i="90"/>
  <c r="F19" i="86"/>
  <c r="B19" i="86" s="1"/>
  <c r="I19" i="86"/>
  <c r="D19" i="86"/>
  <c r="I19" i="90"/>
  <c r="F19" i="90"/>
  <c r="F19" i="80"/>
  <c r="I19" i="80"/>
  <c r="AH11" i="2"/>
  <c r="AG12" i="2"/>
  <c r="H20" i="90"/>
  <c r="AI11" i="2"/>
  <c r="O20" i="90" s="1"/>
  <c r="D18" i="80"/>
  <c r="E18" i="80" s="1"/>
  <c r="B18" i="80"/>
  <c r="I19" i="82"/>
  <c r="F19" i="82"/>
  <c r="B19" i="82" s="1"/>
  <c r="D18" i="82"/>
  <c r="E18" i="82" s="1"/>
  <c r="B18" i="82"/>
  <c r="O12" i="2"/>
  <c r="P11" i="2"/>
  <c r="Q11" i="2"/>
  <c r="O20" i="82" s="1"/>
  <c r="H20" i="82"/>
  <c r="H20" i="80"/>
  <c r="I12" i="2"/>
  <c r="J11" i="2"/>
  <c r="K11" i="2"/>
  <c r="O20" i="80" s="1"/>
  <c r="P17" i="80"/>
  <c r="C17" i="80"/>
  <c r="AK11" i="2"/>
  <c r="AL11" i="2"/>
  <c r="O20" i="86" s="1"/>
  <c r="H20" i="86"/>
  <c r="AJ12" i="2"/>
  <c r="C17" i="82"/>
  <c r="P17" i="82"/>
  <c r="P17" i="85"/>
  <c r="C17" i="87"/>
  <c r="D18" i="81"/>
  <c r="E18" i="81" s="1"/>
  <c r="P18" i="81" s="1"/>
  <c r="D18" i="84"/>
  <c r="E18" i="84" s="1"/>
  <c r="C18" i="84" s="1"/>
  <c r="F12" i="2"/>
  <c r="H20" i="91"/>
  <c r="H11" i="2"/>
  <c r="O20" i="91" s="1"/>
  <c r="G11" i="2"/>
  <c r="F19" i="83"/>
  <c r="D19" i="83" s="1"/>
  <c r="I19" i="83"/>
  <c r="F19" i="89"/>
  <c r="B19" i="89" s="1"/>
  <c r="I19" i="89"/>
  <c r="P17" i="84"/>
  <c r="C17" i="84"/>
  <c r="C17" i="91"/>
  <c r="P17" i="91"/>
  <c r="AB11" i="2"/>
  <c r="H20" i="89"/>
  <c r="AA12" i="2"/>
  <c r="AC11" i="2"/>
  <c r="F19" i="88"/>
  <c r="D19" i="88" s="1"/>
  <c r="E19" i="88" s="1"/>
  <c r="I19" i="88"/>
  <c r="F26" i="93"/>
  <c r="M26" i="93"/>
  <c r="D27" i="93"/>
  <c r="E26" i="93"/>
  <c r="I19" i="87"/>
  <c r="F19" i="87"/>
  <c r="B19" i="87" s="1"/>
  <c r="I19" i="91"/>
  <c r="F19" i="91"/>
  <c r="B19" i="91" s="1"/>
  <c r="P17" i="83"/>
  <c r="C17" i="83"/>
  <c r="C12" i="2"/>
  <c r="H20" i="81"/>
  <c r="D11" i="2"/>
  <c r="E11" i="2"/>
  <c r="O20" i="81" s="1"/>
  <c r="S11" i="2"/>
  <c r="T11" i="2"/>
  <c r="O20" i="88" s="1"/>
  <c r="H20" i="88"/>
  <c r="R12" i="2"/>
  <c r="I19" i="84"/>
  <c r="F19" i="84"/>
  <c r="B19" i="84" s="1"/>
  <c r="B18" i="88"/>
  <c r="H20" i="87"/>
  <c r="M11" i="2"/>
  <c r="N11" i="2"/>
  <c r="O20" i="87" s="1"/>
  <c r="L12" i="2"/>
  <c r="D18" i="91"/>
  <c r="E18" i="91" s="1"/>
  <c r="I19" i="81"/>
  <c r="F19" i="81"/>
  <c r="D19" i="81" s="1"/>
  <c r="P17" i="81"/>
  <c r="C17" i="81"/>
  <c r="D18" i="88"/>
  <c r="E18" i="88" s="1"/>
  <c r="V11" i="2"/>
  <c r="U12" i="2"/>
  <c r="H20" i="83"/>
  <c r="W11" i="2"/>
  <c r="O20" i="83" s="1"/>
  <c r="F19" i="85"/>
  <c r="D19" i="85" s="1"/>
  <c r="I19" i="85"/>
  <c r="E18" i="89"/>
  <c r="B18" i="89"/>
  <c r="D18" i="87"/>
  <c r="E18" i="87" s="1"/>
  <c r="P17" i="89"/>
  <c r="C17" i="89"/>
  <c r="H20" i="85"/>
  <c r="AF11" i="2"/>
  <c r="O20" i="85" s="1"/>
  <c r="AD12" i="2"/>
  <c r="AE11" i="2"/>
  <c r="Z11" i="2"/>
  <c r="O20" i="84" s="1"/>
  <c r="X12" i="2"/>
  <c r="Y11" i="2"/>
  <c r="H20" i="84"/>
  <c r="D18" i="85"/>
  <c r="E18" i="85" s="1"/>
  <c r="D18" i="83"/>
  <c r="E18" i="83" s="1"/>
  <c r="D19" i="82" l="1"/>
  <c r="E19" i="82" s="1"/>
  <c r="C18" i="86"/>
  <c r="I20" i="86"/>
  <c r="F20" i="86"/>
  <c r="B20" i="86" s="1"/>
  <c r="D20" i="86"/>
  <c r="F20" i="80"/>
  <c r="B20" i="80" s="1"/>
  <c r="I20" i="80"/>
  <c r="D19" i="80"/>
  <c r="E19" i="80" s="1"/>
  <c r="B19" i="80"/>
  <c r="C18" i="80"/>
  <c r="P18" i="80"/>
  <c r="Q12" i="2"/>
  <c r="O21" i="82" s="1"/>
  <c r="H21" i="82"/>
  <c r="P12" i="2"/>
  <c r="O13" i="2"/>
  <c r="D19" i="90"/>
  <c r="E19" i="90" s="1"/>
  <c r="B19" i="90"/>
  <c r="F20" i="90"/>
  <c r="I20" i="90"/>
  <c r="C18" i="82"/>
  <c r="P18" i="82"/>
  <c r="H21" i="90"/>
  <c r="AH12" i="2"/>
  <c r="AG13" i="2"/>
  <c r="AI12" i="2"/>
  <c r="O21" i="90" s="1"/>
  <c r="E19" i="86"/>
  <c r="H21" i="86"/>
  <c r="AJ13" i="2"/>
  <c r="AK12" i="2"/>
  <c r="AL12" i="2"/>
  <c r="O21" i="86" s="1"/>
  <c r="H21" i="80"/>
  <c r="J12" i="2"/>
  <c r="I13" i="2"/>
  <c r="K12" i="2"/>
  <c r="O21" i="80" s="1"/>
  <c r="F20" i="82"/>
  <c r="B20" i="82" s="1"/>
  <c r="I20" i="82"/>
  <c r="P18" i="90"/>
  <c r="C18" i="90"/>
  <c r="D19" i="89"/>
  <c r="E19" i="89" s="1"/>
  <c r="P19" i="89" s="1"/>
  <c r="P18" i="84"/>
  <c r="D19" i="87"/>
  <c r="E19" i="87" s="1"/>
  <c r="C19" i="87" s="1"/>
  <c r="C18" i="81"/>
  <c r="E19" i="85"/>
  <c r="P19" i="85" s="1"/>
  <c r="E19" i="83"/>
  <c r="P19" i="83" s="1"/>
  <c r="D19" i="91"/>
  <c r="E19" i="91" s="1"/>
  <c r="P18" i="88"/>
  <c r="C18" i="88"/>
  <c r="P19" i="88"/>
  <c r="C19" i="88"/>
  <c r="C18" i="91"/>
  <c r="P18" i="91"/>
  <c r="C18" i="83"/>
  <c r="P18" i="83"/>
  <c r="P18" i="87"/>
  <c r="C18" i="87"/>
  <c r="C18" i="85"/>
  <c r="P18" i="85"/>
  <c r="V12" i="2"/>
  <c r="W12" i="2"/>
  <c r="O21" i="83" s="1"/>
  <c r="U13" i="2"/>
  <c r="H21" i="83"/>
  <c r="F20" i="87"/>
  <c r="D20" i="87" s="1"/>
  <c r="I20" i="87"/>
  <c r="Y12" i="2"/>
  <c r="X13" i="2"/>
  <c r="Z12" i="2"/>
  <c r="O21" i="84" s="1"/>
  <c r="H21" i="84"/>
  <c r="C18" i="89"/>
  <c r="P18" i="89"/>
  <c r="I20" i="83"/>
  <c r="F20" i="83"/>
  <c r="B20" i="83" s="1"/>
  <c r="I20" i="88"/>
  <c r="F20" i="88"/>
  <c r="D20" i="88" s="1"/>
  <c r="H21" i="91"/>
  <c r="H12" i="2"/>
  <c r="O21" i="91" s="1"/>
  <c r="F13" i="2"/>
  <c r="G12" i="2"/>
  <c r="E27" i="93"/>
  <c r="N27" i="93"/>
  <c r="O27" i="93" s="1"/>
  <c r="D28" i="93"/>
  <c r="F27" i="93"/>
  <c r="B27" i="93" s="1"/>
  <c r="B19" i="88"/>
  <c r="B19" i="83"/>
  <c r="B19" i="85"/>
  <c r="B26" i="93"/>
  <c r="AD13" i="2"/>
  <c r="H21" i="85"/>
  <c r="AE12" i="2"/>
  <c r="AF12" i="2"/>
  <c r="O21" i="85" s="1"/>
  <c r="I20" i="81"/>
  <c r="F20" i="81"/>
  <c r="D20" i="81" s="1"/>
  <c r="N26" i="93"/>
  <c r="O26" i="93" s="1"/>
  <c r="AC12" i="2"/>
  <c r="O21" i="89" s="1"/>
  <c r="AB12" i="2"/>
  <c r="AA13" i="2"/>
  <c r="H21" i="89"/>
  <c r="I20" i="85"/>
  <c r="F20" i="85"/>
  <c r="D20" i="85" s="1"/>
  <c r="I20" i="84"/>
  <c r="F20" i="84"/>
  <c r="L13" i="2"/>
  <c r="H21" i="87"/>
  <c r="M12" i="2"/>
  <c r="N12" i="2"/>
  <c r="O21" i="87" s="1"/>
  <c r="D19" i="84"/>
  <c r="E19" i="84" s="1"/>
  <c r="C13" i="2"/>
  <c r="D12" i="2"/>
  <c r="H21" i="81"/>
  <c r="E12" i="2"/>
  <c r="O21" i="81" s="1"/>
  <c r="F20" i="89"/>
  <c r="B20" i="89" s="1"/>
  <c r="I20" i="89"/>
  <c r="B19" i="81"/>
  <c r="E19" i="81"/>
  <c r="T12" i="2"/>
  <c r="O21" i="88" s="1"/>
  <c r="H21" i="88"/>
  <c r="R13" i="2"/>
  <c r="S12" i="2"/>
  <c r="F20" i="91"/>
  <c r="D20" i="91" s="1"/>
  <c r="I20" i="91"/>
  <c r="D20" i="80" l="1"/>
  <c r="E20" i="80" s="1"/>
  <c r="P20" i="80" s="1"/>
  <c r="D20" i="82"/>
  <c r="E20" i="82" s="1"/>
  <c r="P20" i="82" s="1"/>
  <c r="I21" i="80"/>
  <c r="F21" i="80"/>
  <c r="P19" i="90"/>
  <c r="C19" i="90"/>
  <c r="C19" i="80"/>
  <c r="P19" i="80"/>
  <c r="I21" i="90"/>
  <c r="F21" i="90"/>
  <c r="B21" i="90" s="1"/>
  <c r="P13" i="2"/>
  <c r="O14" i="2"/>
  <c r="Q13" i="2"/>
  <c r="O22" i="82" s="1"/>
  <c r="H22" i="82"/>
  <c r="AK13" i="2"/>
  <c r="H22" i="86"/>
  <c r="AJ14" i="2"/>
  <c r="AL13" i="2"/>
  <c r="O22" i="86" s="1"/>
  <c r="F21" i="82"/>
  <c r="B21" i="82" s="1"/>
  <c r="I21" i="82"/>
  <c r="C19" i="82"/>
  <c r="P19" i="82"/>
  <c r="F21" i="86"/>
  <c r="B21" i="86" s="1"/>
  <c r="I21" i="86"/>
  <c r="D21" i="86"/>
  <c r="C19" i="86"/>
  <c r="P19" i="86"/>
  <c r="E20" i="86"/>
  <c r="I14" i="2"/>
  <c r="K13" i="2"/>
  <c r="O22" i="80" s="1"/>
  <c r="H22" i="80"/>
  <c r="J13" i="2"/>
  <c r="D20" i="90"/>
  <c r="E20" i="90" s="1"/>
  <c r="B20" i="90"/>
  <c r="C19" i="89"/>
  <c r="AG14" i="2"/>
  <c r="AI13" i="2"/>
  <c r="O22" i="90" s="1"/>
  <c r="H22" i="90"/>
  <c r="AH13" i="2"/>
  <c r="P19" i="87"/>
  <c r="C19" i="83"/>
  <c r="D20" i="89"/>
  <c r="E20" i="89" s="1"/>
  <c r="C20" i="89" s="1"/>
  <c r="C19" i="85"/>
  <c r="C19" i="91"/>
  <c r="P19" i="91"/>
  <c r="E20" i="87"/>
  <c r="C20" i="87" s="1"/>
  <c r="P19" i="84"/>
  <c r="C19" i="84"/>
  <c r="D13" i="2"/>
  <c r="C14" i="2"/>
  <c r="E13" i="2"/>
  <c r="H22" i="81"/>
  <c r="B20" i="84"/>
  <c r="E28" i="93"/>
  <c r="F28" i="93"/>
  <c r="N28" i="93" s="1"/>
  <c r="O28" i="93" s="1"/>
  <c r="M28" i="93"/>
  <c r="D29" i="93"/>
  <c r="D20" i="83"/>
  <c r="E20" i="83" s="1"/>
  <c r="F21" i="85"/>
  <c r="B21" i="85" s="1"/>
  <c r="I21" i="85"/>
  <c r="E20" i="88"/>
  <c r="B20" i="88"/>
  <c r="B20" i="87"/>
  <c r="I21" i="88"/>
  <c r="F21" i="88"/>
  <c r="AF13" i="2"/>
  <c r="O22" i="85" s="1"/>
  <c r="AD14" i="2"/>
  <c r="AE13" i="2"/>
  <c r="H22" i="85"/>
  <c r="S13" i="2"/>
  <c r="R14" i="2"/>
  <c r="T13" i="2"/>
  <c r="O22" i="88" s="1"/>
  <c r="H22" i="88"/>
  <c r="E20" i="81"/>
  <c r="B20" i="81"/>
  <c r="I21" i="84"/>
  <c r="F21" i="84"/>
  <c r="B21" i="84" s="1"/>
  <c r="I21" i="83"/>
  <c r="F21" i="83"/>
  <c r="B21" i="83" s="1"/>
  <c r="M13" i="2"/>
  <c r="L14" i="2"/>
  <c r="H22" i="87"/>
  <c r="N13" i="2"/>
  <c r="O22" i="87" s="1"/>
  <c r="H22" i="91"/>
  <c r="G13" i="2"/>
  <c r="H13" i="2"/>
  <c r="O22" i="91" s="1"/>
  <c r="F14" i="2"/>
  <c r="W13" i="2"/>
  <c r="O22" i="83" s="1"/>
  <c r="U14" i="2"/>
  <c r="H22" i="83"/>
  <c r="V13" i="2"/>
  <c r="I21" i="87"/>
  <c r="F21" i="87"/>
  <c r="B21" i="87" s="1"/>
  <c r="P19" i="81"/>
  <c r="C19" i="81"/>
  <c r="F21" i="81"/>
  <c r="B21" i="81" s="1"/>
  <c r="I21" i="81"/>
  <c r="I21" i="89"/>
  <c r="F21" i="89"/>
  <c r="B21" i="89" s="1"/>
  <c r="M27" i="93"/>
  <c r="Y13" i="2"/>
  <c r="Z13" i="2"/>
  <c r="O22" i="84" s="1"/>
  <c r="H22" i="84"/>
  <c r="X14" i="2"/>
  <c r="E20" i="91"/>
  <c r="B20" i="91"/>
  <c r="D20" i="84"/>
  <c r="E20" i="84" s="1"/>
  <c r="E20" i="85"/>
  <c r="B20" i="85"/>
  <c r="H22" i="89"/>
  <c r="AA14" i="2"/>
  <c r="AB13" i="2"/>
  <c r="AC13" i="2"/>
  <c r="O22" i="89" s="1"/>
  <c r="I21" i="91"/>
  <c r="F21" i="91"/>
  <c r="B21" i="91" s="1"/>
  <c r="D21" i="90" l="1"/>
  <c r="E21" i="90" s="1"/>
  <c r="D21" i="82"/>
  <c r="E21" i="82" s="1"/>
  <c r="P21" i="82" s="1"/>
  <c r="C20" i="82"/>
  <c r="C20" i="80"/>
  <c r="C20" i="90"/>
  <c r="P20" i="90"/>
  <c r="E21" i="86"/>
  <c r="F22" i="82"/>
  <c r="B22" i="82" s="1"/>
  <c r="I22" i="82"/>
  <c r="AL14" i="2"/>
  <c r="O23" i="86" s="1"/>
  <c r="AJ15" i="2"/>
  <c r="H23" i="86"/>
  <c r="AK14" i="2"/>
  <c r="I22" i="80"/>
  <c r="F22" i="80"/>
  <c r="F22" i="86"/>
  <c r="I22" i="86"/>
  <c r="D22" i="86"/>
  <c r="F22" i="90"/>
  <c r="B22" i="90" s="1"/>
  <c r="I22" i="90"/>
  <c r="D22" i="90"/>
  <c r="P14" i="2"/>
  <c r="H23" i="82"/>
  <c r="O15" i="2"/>
  <c r="Q14" i="2"/>
  <c r="O23" i="82" s="1"/>
  <c r="I15" i="2"/>
  <c r="K14" i="2"/>
  <c r="O23" i="80" s="1"/>
  <c r="H23" i="80"/>
  <c r="J14" i="2"/>
  <c r="D21" i="80"/>
  <c r="E21" i="80" s="1"/>
  <c r="B21" i="80"/>
  <c r="AH14" i="2"/>
  <c r="H23" i="90"/>
  <c r="AI14" i="2"/>
  <c r="O23" i="90" s="1"/>
  <c r="AG15" i="2"/>
  <c r="C20" i="86"/>
  <c r="P20" i="86"/>
  <c r="P20" i="89"/>
  <c r="D21" i="84"/>
  <c r="E21" i="84" s="1"/>
  <c r="C21" i="84" s="1"/>
  <c r="P20" i="87"/>
  <c r="D21" i="85"/>
  <c r="E21" i="85" s="1"/>
  <c r="P21" i="85" s="1"/>
  <c r="D21" i="81"/>
  <c r="E21" i="81" s="1"/>
  <c r="P20" i="84"/>
  <c r="C20" i="84"/>
  <c r="H23" i="84"/>
  <c r="Y14" i="2"/>
  <c r="Z14" i="2"/>
  <c r="O23" i="84" s="1"/>
  <c r="X15" i="2"/>
  <c r="D21" i="89"/>
  <c r="E21" i="89" s="1"/>
  <c r="B21" i="88"/>
  <c r="H23" i="81"/>
  <c r="C15" i="2"/>
  <c r="D14" i="2"/>
  <c r="E14" i="2"/>
  <c r="O23" i="81" s="1"/>
  <c r="G14" i="2"/>
  <c r="H23" i="91"/>
  <c r="H14" i="2"/>
  <c r="O23" i="91" s="1"/>
  <c r="F15" i="2"/>
  <c r="H23" i="89"/>
  <c r="AC14" i="2"/>
  <c r="O23" i="89" s="1"/>
  <c r="AB14" i="2"/>
  <c r="AA15" i="2"/>
  <c r="I22" i="85"/>
  <c r="F22" i="85"/>
  <c r="B22" i="85" s="1"/>
  <c r="I22" i="84"/>
  <c r="F22" i="84"/>
  <c r="B22" i="84" s="1"/>
  <c r="I22" i="89"/>
  <c r="F22" i="89"/>
  <c r="B22" i="89" s="1"/>
  <c r="I22" i="87"/>
  <c r="F22" i="87"/>
  <c r="B22" i="87" s="1"/>
  <c r="C20" i="83"/>
  <c r="P20" i="83"/>
  <c r="D21" i="87"/>
  <c r="E21" i="87" s="1"/>
  <c r="F22" i="91"/>
  <c r="B22" i="91" s="1"/>
  <c r="I22" i="91"/>
  <c r="H23" i="87"/>
  <c r="N14" i="2"/>
  <c r="O23" i="87" s="1"/>
  <c r="L15" i="2"/>
  <c r="M14" i="2"/>
  <c r="P20" i="81"/>
  <c r="C20" i="81"/>
  <c r="AD15" i="2"/>
  <c r="AF14" i="2"/>
  <c r="O23" i="85" s="1"/>
  <c r="H23" i="85"/>
  <c r="AE14" i="2"/>
  <c r="E29" i="93"/>
  <c r="D30" i="93"/>
  <c r="F29" i="93"/>
  <c r="B29" i="93" s="1"/>
  <c r="D21" i="91"/>
  <c r="E21" i="91" s="1"/>
  <c r="C20" i="85"/>
  <c r="P20" i="85"/>
  <c r="F22" i="88"/>
  <c r="B22" i="88" s="1"/>
  <c r="I22" i="88"/>
  <c r="P20" i="88"/>
  <c r="C20" i="88"/>
  <c r="P20" i="91"/>
  <c r="C20" i="91"/>
  <c r="F22" i="83"/>
  <c r="B22" i="83" s="1"/>
  <c r="I22" i="83"/>
  <c r="D21" i="83"/>
  <c r="E21" i="83" s="1"/>
  <c r="F22" i="81"/>
  <c r="B22" i="81" s="1"/>
  <c r="I22" i="81"/>
  <c r="V14" i="2"/>
  <c r="W14" i="2"/>
  <c r="O23" i="83" s="1"/>
  <c r="U15" i="2"/>
  <c r="H23" i="83"/>
  <c r="S14" i="2"/>
  <c r="H23" i="88"/>
  <c r="T14" i="2"/>
  <c r="O23" i="88" s="1"/>
  <c r="R15" i="2"/>
  <c r="D21" i="88"/>
  <c r="E21" i="88" s="1"/>
  <c r="B28" i="93"/>
  <c r="D22" i="82" l="1"/>
  <c r="E22" i="82" s="1"/>
  <c r="C22" i="82" s="1"/>
  <c r="C21" i="82"/>
  <c r="I23" i="86"/>
  <c r="F23" i="86"/>
  <c r="B23" i="86" s="1"/>
  <c r="D23" i="86"/>
  <c r="I23" i="90"/>
  <c r="F23" i="90"/>
  <c r="K15" i="2"/>
  <c r="O24" i="80" s="1"/>
  <c r="H24" i="80"/>
  <c r="J15" i="2"/>
  <c r="I16" i="2"/>
  <c r="AK15" i="2"/>
  <c r="H24" i="86"/>
  <c r="AJ16" i="2"/>
  <c r="AL15" i="2"/>
  <c r="O24" i="86" s="1"/>
  <c r="O16" i="2"/>
  <c r="H24" i="82"/>
  <c r="P15" i="2"/>
  <c r="Q15" i="2"/>
  <c r="O24" i="82" s="1"/>
  <c r="E22" i="86"/>
  <c r="B22" i="86"/>
  <c r="P21" i="80"/>
  <c r="C21" i="80"/>
  <c r="F23" i="82"/>
  <c r="B23" i="82" s="1"/>
  <c r="I23" i="82"/>
  <c r="P21" i="90"/>
  <c r="C21" i="90"/>
  <c r="D22" i="80"/>
  <c r="E22" i="80" s="1"/>
  <c r="B22" i="80"/>
  <c r="E22" i="90"/>
  <c r="C21" i="86"/>
  <c r="P21" i="86"/>
  <c r="AH15" i="2"/>
  <c r="H24" i="90"/>
  <c r="AI15" i="2"/>
  <c r="O24" i="90" s="1"/>
  <c r="AG16" i="2"/>
  <c r="I23" i="80"/>
  <c r="F23" i="80"/>
  <c r="B23" i="80" s="1"/>
  <c r="P21" i="84"/>
  <c r="C21" i="85"/>
  <c r="D22" i="87"/>
  <c r="E22" i="87" s="1"/>
  <c r="P22" i="87" s="1"/>
  <c r="C21" i="81"/>
  <c r="P21" i="81"/>
  <c r="D22" i="83"/>
  <c r="E22" i="83" s="1"/>
  <c r="C22" i="83" s="1"/>
  <c r="D22" i="88"/>
  <c r="E22" i="88" s="1"/>
  <c r="C21" i="83"/>
  <c r="P21" i="83"/>
  <c r="P21" i="91"/>
  <c r="C21" i="91"/>
  <c r="D22" i="81"/>
  <c r="E22" i="81" s="1"/>
  <c r="M29" i="93"/>
  <c r="D22" i="91"/>
  <c r="E22" i="91" s="1"/>
  <c r="D22" i="84"/>
  <c r="E22" i="84" s="1"/>
  <c r="I23" i="81"/>
  <c r="F23" i="81"/>
  <c r="B23" i="81" s="1"/>
  <c r="N29" i="93"/>
  <c r="C21" i="87"/>
  <c r="P21" i="87"/>
  <c r="F23" i="91"/>
  <c r="B23" i="91" s="1"/>
  <c r="I23" i="91"/>
  <c r="X16" i="2"/>
  <c r="Z15" i="2"/>
  <c r="O24" i="84" s="1"/>
  <c r="H24" i="84"/>
  <c r="Y15" i="2"/>
  <c r="I23" i="83"/>
  <c r="F23" i="83"/>
  <c r="B23" i="83" s="1"/>
  <c r="T15" i="2"/>
  <c r="O24" i="88" s="1"/>
  <c r="S15" i="2"/>
  <c r="R16" i="2"/>
  <c r="H24" i="88"/>
  <c r="H24" i="87"/>
  <c r="L16" i="2"/>
  <c r="N15" i="2"/>
  <c r="O24" i="87" s="1"/>
  <c r="M15" i="2"/>
  <c r="I23" i="88"/>
  <c r="F23" i="88"/>
  <c r="B23" i="88" s="1"/>
  <c r="AA16" i="2"/>
  <c r="AC15" i="2"/>
  <c r="O24" i="89" s="1"/>
  <c r="H24" i="89"/>
  <c r="AB15" i="2"/>
  <c r="P21" i="88"/>
  <c r="C21" i="88"/>
  <c r="F23" i="85"/>
  <c r="B23" i="85" s="1"/>
  <c r="I23" i="85"/>
  <c r="I23" i="87"/>
  <c r="F23" i="87"/>
  <c r="B23" i="87" s="1"/>
  <c r="D22" i="89"/>
  <c r="E22" i="89" s="1"/>
  <c r="F23" i="84"/>
  <c r="B23" i="84" s="1"/>
  <c r="I23" i="84"/>
  <c r="C21" i="89"/>
  <c r="P21" i="89"/>
  <c r="H24" i="83"/>
  <c r="U16" i="2"/>
  <c r="W15" i="2"/>
  <c r="O24" i="83" s="1"/>
  <c r="V15" i="2"/>
  <c r="F30" i="93"/>
  <c r="B30" i="93" s="1"/>
  <c r="E30" i="93"/>
  <c r="D31" i="93"/>
  <c r="AD16" i="2"/>
  <c r="AF15" i="2"/>
  <c r="O24" i="85" s="1"/>
  <c r="H24" i="85"/>
  <c r="AE15" i="2"/>
  <c r="D22" i="85"/>
  <c r="E22" i="85" s="1"/>
  <c r="I23" i="89"/>
  <c r="F23" i="89"/>
  <c r="B23" i="89" s="1"/>
  <c r="G15" i="2"/>
  <c r="F16" i="2"/>
  <c r="H24" i="91"/>
  <c r="H15" i="2"/>
  <c r="O24" i="91" s="1"/>
  <c r="E15" i="2"/>
  <c r="O24" i="81" s="1"/>
  <c r="H24" i="81"/>
  <c r="C16" i="2"/>
  <c r="D15" i="2"/>
  <c r="D23" i="82" l="1"/>
  <c r="E23" i="82" s="1"/>
  <c r="D23" i="80"/>
  <c r="E23" i="80" s="1"/>
  <c r="C23" i="80" s="1"/>
  <c r="P22" i="82"/>
  <c r="P22" i="90"/>
  <c r="C22" i="90"/>
  <c r="F24" i="82"/>
  <c r="B24" i="82" s="1"/>
  <c r="I24" i="82"/>
  <c r="D24" i="82"/>
  <c r="F24" i="80"/>
  <c r="I24" i="80"/>
  <c r="H25" i="82"/>
  <c r="P16" i="2"/>
  <c r="O17" i="2"/>
  <c r="Q16" i="2"/>
  <c r="O25" i="82" s="1"/>
  <c r="AG17" i="2"/>
  <c r="AI16" i="2"/>
  <c r="O25" i="90" s="1"/>
  <c r="AH16" i="2"/>
  <c r="H25" i="90"/>
  <c r="P22" i="80"/>
  <c r="C22" i="80"/>
  <c r="D23" i="90"/>
  <c r="E23" i="90" s="1"/>
  <c r="B23" i="90"/>
  <c r="AL16" i="2"/>
  <c r="O25" i="86" s="1"/>
  <c r="H25" i="86"/>
  <c r="AK16" i="2"/>
  <c r="AJ17" i="2"/>
  <c r="F24" i="90"/>
  <c r="B24" i="90" s="1"/>
  <c r="I24" i="90"/>
  <c r="D24" i="90"/>
  <c r="D24" i="86"/>
  <c r="F24" i="86"/>
  <c r="B24" i="86" s="1"/>
  <c r="I24" i="86"/>
  <c r="E23" i="86"/>
  <c r="P22" i="86"/>
  <c r="C22" i="86"/>
  <c r="I17" i="2"/>
  <c r="J16" i="2"/>
  <c r="H25" i="80"/>
  <c r="K16" i="2"/>
  <c r="O25" i="80" s="1"/>
  <c r="D23" i="83"/>
  <c r="E23" i="83" s="1"/>
  <c r="P23" i="83" s="1"/>
  <c r="P22" i="83"/>
  <c r="C22" i="87"/>
  <c r="D23" i="88"/>
  <c r="E23" i="88" s="1"/>
  <c r="C23" i="88" s="1"/>
  <c r="D23" i="89"/>
  <c r="E23" i="89" s="1"/>
  <c r="D23" i="87"/>
  <c r="E23" i="87" s="1"/>
  <c r="C23" i="87" s="1"/>
  <c r="D23" i="81"/>
  <c r="E23" i="81" s="1"/>
  <c r="C23" i="81" s="1"/>
  <c r="N30" i="93"/>
  <c r="H25" i="89"/>
  <c r="AB16" i="2"/>
  <c r="AC16" i="2"/>
  <c r="O25" i="89" s="1"/>
  <c r="AA17" i="2"/>
  <c r="M16" i="2"/>
  <c r="N16" i="2"/>
  <c r="O25" i="87" s="1"/>
  <c r="H25" i="87"/>
  <c r="L17" i="2"/>
  <c r="X17" i="2"/>
  <c r="Y16" i="2"/>
  <c r="H25" i="84"/>
  <c r="Z16" i="2"/>
  <c r="O25" i="84" s="1"/>
  <c r="F24" i="91"/>
  <c r="B24" i="91" s="1"/>
  <c r="I24" i="91"/>
  <c r="H16" i="2"/>
  <c r="O25" i="91" s="1"/>
  <c r="H25" i="91"/>
  <c r="G16" i="2"/>
  <c r="F17" i="2"/>
  <c r="F24" i="85"/>
  <c r="B24" i="85" s="1"/>
  <c r="I24" i="85"/>
  <c r="P22" i="81"/>
  <c r="C22" i="81"/>
  <c r="D23" i="85"/>
  <c r="E23" i="85" s="1"/>
  <c r="I24" i="87"/>
  <c r="F24" i="87"/>
  <c r="B24" i="87" s="1"/>
  <c r="D23" i="91"/>
  <c r="E23" i="91" s="1"/>
  <c r="D23" i="84"/>
  <c r="E23" i="84" s="1"/>
  <c r="P22" i="88"/>
  <c r="C22" i="88"/>
  <c r="P22" i="84"/>
  <c r="C22" i="84"/>
  <c r="AD17" i="2"/>
  <c r="AF16" i="2"/>
  <c r="O25" i="85" s="1"/>
  <c r="AE16" i="2"/>
  <c r="H25" i="85"/>
  <c r="C22" i="91"/>
  <c r="P22" i="91"/>
  <c r="D32" i="93"/>
  <c r="E31" i="93"/>
  <c r="F31" i="93"/>
  <c r="B31" i="93" s="1"/>
  <c r="V16" i="2"/>
  <c r="W16" i="2"/>
  <c r="O25" i="83" s="1"/>
  <c r="H25" i="83"/>
  <c r="U17" i="2"/>
  <c r="I24" i="88"/>
  <c r="F24" i="88"/>
  <c r="B24" i="88" s="1"/>
  <c r="C17" i="2"/>
  <c r="D16" i="2"/>
  <c r="H25" i="81"/>
  <c r="E16" i="2"/>
  <c r="O25" i="81" s="1"/>
  <c r="F24" i="81"/>
  <c r="B24" i="81" s="1"/>
  <c r="I24" i="81"/>
  <c r="C22" i="85"/>
  <c r="P22" i="85"/>
  <c r="F24" i="83"/>
  <c r="B24" i="83" s="1"/>
  <c r="I24" i="83"/>
  <c r="S16" i="2"/>
  <c r="R17" i="2"/>
  <c r="H25" i="88"/>
  <c r="T16" i="2"/>
  <c r="O25" i="88" s="1"/>
  <c r="C22" i="89"/>
  <c r="P22" i="89"/>
  <c r="I24" i="89"/>
  <c r="F24" i="89"/>
  <c r="B24" i="89" s="1"/>
  <c r="I24" i="84"/>
  <c r="F24" i="84"/>
  <c r="B24" i="84" s="1"/>
  <c r="O29" i="93"/>
  <c r="C29" i="93"/>
  <c r="M30" i="93"/>
  <c r="P23" i="80" l="1"/>
  <c r="E24" i="86"/>
  <c r="P24" i="86" s="1"/>
  <c r="E24" i="90"/>
  <c r="P24" i="90" s="1"/>
  <c r="C23" i="86"/>
  <c r="P23" i="86"/>
  <c r="H26" i="86"/>
  <c r="AJ18" i="2"/>
  <c r="AL17" i="2"/>
  <c r="O26" i="86" s="1"/>
  <c r="AK17" i="2"/>
  <c r="F25" i="90"/>
  <c r="I25" i="90"/>
  <c r="F25" i="80"/>
  <c r="B25" i="80" s="1"/>
  <c r="I25" i="80"/>
  <c r="I25" i="86"/>
  <c r="D25" i="86"/>
  <c r="F25" i="86"/>
  <c r="B25" i="86" s="1"/>
  <c r="D24" i="80"/>
  <c r="E24" i="80" s="1"/>
  <c r="B24" i="80"/>
  <c r="AH17" i="2"/>
  <c r="AI17" i="2"/>
  <c r="O26" i="90" s="1"/>
  <c r="H26" i="90"/>
  <c r="AG18" i="2"/>
  <c r="E24" i="82"/>
  <c r="H26" i="80"/>
  <c r="I18" i="2"/>
  <c r="J17" i="2"/>
  <c r="K17" i="2"/>
  <c r="O26" i="80" s="1"/>
  <c r="C23" i="90"/>
  <c r="P23" i="90"/>
  <c r="P17" i="2"/>
  <c r="O18" i="2"/>
  <c r="Q17" i="2"/>
  <c r="O26" i="82" s="1"/>
  <c r="H26" i="82"/>
  <c r="P23" i="82"/>
  <c r="C23" i="82"/>
  <c r="I25" i="82"/>
  <c r="F25" i="82"/>
  <c r="B25" i="82" s="1"/>
  <c r="P23" i="81"/>
  <c r="P23" i="88"/>
  <c r="P23" i="87"/>
  <c r="D24" i="83"/>
  <c r="E24" i="83" s="1"/>
  <c r="P24" i="83" s="1"/>
  <c r="D24" i="91"/>
  <c r="E24" i="91" s="1"/>
  <c r="D24" i="87"/>
  <c r="E24" i="87" s="1"/>
  <c r="P24" i="87" s="1"/>
  <c r="C23" i="83"/>
  <c r="I25" i="81"/>
  <c r="F25" i="81"/>
  <c r="B25" i="81" s="1"/>
  <c r="F25" i="85"/>
  <c r="B25" i="85" s="1"/>
  <c r="I25" i="85"/>
  <c r="P23" i="84"/>
  <c r="C23" i="84"/>
  <c r="C23" i="91"/>
  <c r="P23" i="91"/>
  <c r="C23" i="89"/>
  <c r="P23" i="89"/>
  <c r="I25" i="87"/>
  <c r="F25" i="87"/>
  <c r="B25" i="87" s="1"/>
  <c r="M31" i="93"/>
  <c r="P23" i="85"/>
  <c r="C23" i="85"/>
  <c r="H26" i="91"/>
  <c r="F18" i="2"/>
  <c r="G17" i="2"/>
  <c r="H17" i="2"/>
  <c r="O26" i="91" s="1"/>
  <c r="AE17" i="2"/>
  <c r="AD18" i="2"/>
  <c r="H26" i="85"/>
  <c r="AF17" i="2"/>
  <c r="O26" i="85" s="1"/>
  <c r="F25" i="91"/>
  <c r="B25" i="91" s="1"/>
  <c r="I25" i="91"/>
  <c r="H26" i="89"/>
  <c r="AA18" i="2"/>
  <c r="AB17" i="2"/>
  <c r="AC17" i="2"/>
  <c r="O26" i="89" s="1"/>
  <c r="D24" i="84"/>
  <c r="E24" i="84" s="1"/>
  <c r="C18" i="2"/>
  <c r="E17" i="2"/>
  <c r="O26" i="81" s="1"/>
  <c r="H26" i="81"/>
  <c r="D17" i="2"/>
  <c r="D24" i="88"/>
  <c r="E24" i="88" s="1"/>
  <c r="N31" i="93"/>
  <c r="O31" i="93" s="1"/>
  <c r="Z17" i="2"/>
  <c r="O26" i="84" s="1"/>
  <c r="Y17" i="2"/>
  <c r="H26" i="84"/>
  <c r="X18" i="2"/>
  <c r="D33" i="93"/>
  <c r="F32" i="93"/>
  <c r="B32" i="93" s="1"/>
  <c r="E32" i="93"/>
  <c r="F25" i="84"/>
  <c r="B25" i="84" s="1"/>
  <c r="I25" i="84"/>
  <c r="V17" i="2"/>
  <c r="W17" i="2"/>
  <c r="O26" i="83" s="1"/>
  <c r="H26" i="83"/>
  <c r="U18" i="2"/>
  <c r="F25" i="88"/>
  <c r="B25" i="88" s="1"/>
  <c r="I25" i="88"/>
  <c r="D24" i="81"/>
  <c r="E24" i="81" s="1"/>
  <c r="I25" i="83"/>
  <c r="F25" i="83"/>
  <c r="B25" i="83" s="1"/>
  <c r="D24" i="85"/>
  <c r="E24" i="85" s="1"/>
  <c r="F25" i="89"/>
  <c r="B25" i="89" s="1"/>
  <c r="I25" i="89"/>
  <c r="D24" i="89"/>
  <c r="E24" i="89" s="1"/>
  <c r="S17" i="2"/>
  <c r="T17" i="2"/>
  <c r="O26" i="88" s="1"/>
  <c r="R18" i="2"/>
  <c r="H26" i="88"/>
  <c r="M17" i="2"/>
  <c r="H26" i="87"/>
  <c r="N17" i="2"/>
  <c r="O26" i="87" s="1"/>
  <c r="L18" i="2"/>
  <c r="C30" i="93"/>
  <c r="O30" i="93"/>
  <c r="D25" i="82" l="1"/>
  <c r="E25" i="82" s="1"/>
  <c r="P25" i="82" s="1"/>
  <c r="D25" i="80"/>
  <c r="E25" i="80" s="1"/>
  <c r="C25" i="80" s="1"/>
  <c r="C24" i="86"/>
  <c r="C24" i="90"/>
  <c r="E25" i="86"/>
  <c r="C25" i="86" s="1"/>
  <c r="F26" i="90"/>
  <c r="B26" i="90" s="1"/>
  <c r="I26" i="90"/>
  <c r="AK18" i="2"/>
  <c r="H27" i="86"/>
  <c r="AL18" i="2"/>
  <c r="O27" i="86" s="1"/>
  <c r="AJ19" i="2"/>
  <c r="I26" i="82"/>
  <c r="F26" i="82"/>
  <c r="B26" i="82" s="1"/>
  <c r="I26" i="86"/>
  <c r="F26" i="86"/>
  <c r="B26" i="86" s="1"/>
  <c r="D26" i="86"/>
  <c r="O19" i="2"/>
  <c r="P18" i="2"/>
  <c r="Q18" i="2"/>
  <c r="O27" i="82" s="1"/>
  <c r="H27" i="82"/>
  <c r="J18" i="2"/>
  <c r="K18" i="2"/>
  <c r="O27" i="80" s="1"/>
  <c r="H27" i="80"/>
  <c r="I19" i="2"/>
  <c r="I26" i="80"/>
  <c r="F26" i="80"/>
  <c r="B26" i="80" s="1"/>
  <c r="C24" i="82"/>
  <c r="P24" i="82"/>
  <c r="D25" i="90"/>
  <c r="E25" i="90" s="1"/>
  <c r="B25" i="90"/>
  <c r="AI18" i="2"/>
  <c r="O27" i="90" s="1"/>
  <c r="AG19" i="2"/>
  <c r="AH18" i="2"/>
  <c r="H27" i="90"/>
  <c r="C24" i="80"/>
  <c r="P24" i="80"/>
  <c r="C24" i="83"/>
  <c r="C24" i="91"/>
  <c r="P24" i="91"/>
  <c r="C24" i="87"/>
  <c r="D25" i="85"/>
  <c r="E25" i="85" s="1"/>
  <c r="P25" i="85" s="1"/>
  <c r="C24" i="84"/>
  <c r="P24" i="84"/>
  <c r="C24" i="88"/>
  <c r="P24" i="88"/>
  <c r="P24" i="81"/>
  <c r="C24" i="81"/>
  <c r="D25" i="91"/>
  <c r="E25" i="91" s="1"/>
  <c r="F26" i="85"/>
  <c r="B26" i="85" s="1"/>
  <c r="I26" i="85"/>
  <c r="I26" i="91"/>
  <c r="F26" i="91"/>
  <c r="B26" i="91" s="1"/>
  <c r="P24" i="89"/>
  <c r="C24" i="89"/>
  <c r="C24" i="85"/>
  <c r="P24" i="85"/>
  <c r="H27" i="83"/>
  <c r="U19" i="2"/>
  <c r="W18" i="2"/>
  <c r="O27" i="83" s="1"/>
  <c r="V18" i="2"/>
  <c r="D25" i="81"/>
  <c r="E25" i="81" s="1"/>
  <c r="D25" i="89"/>
  <c r="E25" i="89" s="1"/>
  <c r="D25" i="83"/>
  <c r="E25" i="83" s="1"/>
  <c r="I26" i="83"/>
  <c r="F26" i="83"/>
  <c r="B26" i="83" s="1"/>
  <c r="N18" i="2"/>
  <c r="O27" i="87" s="1"/>
  <c r="H27" i="87"/>
  <c r="L19" i="2"/>
  <c r="M18" i="2"/>
  <c r="AB18" i="2"/>
  <c r="AC18" i="2"/>
  <c r="O27" i="89" s="1"/>
  <c r="AA19" i="2"/>
  <c r="H27" i="89"/>
  <c r="F33" i="93"/>
  <c r="B33" i="93" s="1"/>
  <c r="M33" i="93"/>
  <c r="N33" i="93" s="1"/>
  <c r="O33" i="93" s="1"/>
  <c r="D34" i="93"/>
  <c r="E33" i="93"/>
  <c r="C19" i="2"/>
  <c r="E18" i="2"/>
  <c r="O27" i="81" s="1"/>
  <c r="H27" i="81"/>
  <c r="D18" i="2"/>
  <c r="S18" i="2"/>
  <c r="R19" i="2"/>
  <c r="H27" i="88"/>
  <c r="T18" i="2"/>
  <c r="O27" i="88" s="1"/>
  <c r="D25" i="88"/>
  <c r="E25" i="88" s="1"/>
  <c r="D25" i="84"/>
  <c r="E25" i="84" s="1"/>
  <c r="Z18" i="2"/>
  <c r="O27" i="84" s="1"/>
  <c r="H27" i="84"/>
  <c r="Y18" i="2"/>
  <c r="X19" i="2"/>
  <c r="I26" i="89"/>
  <c r="F26" i="89"/>
  <c r="B26" i="89" s="1"/>
  <c r="D25" i="87"/>
  <c r="E25" i="87" s="1"/>
  <c r="AF18" i="2"/>
  <c r="O27" i="85" s="1"/>
  <c r="AE18" i="2"/>
  <c r="AD19" i="2"/>
  <c r="H27" i="85"/>
  <c r="I26" i="88"/>
  <c r="F26" i="88"/>
  <c r="B26" i="88" s="1"/>
  <c r="F26" i="87"/>
  <c r="B26" i="87" s="1"/>
  <c r="I26" i="87"/>
  <c r="M32" i="93"/>
  <c r="N32" i="93" s="1"/>
  <c r="O32" i="93" s="1"/>
  <c r="F26" i="84"/>
  <c r="B26" i="84" s="1"/>
  <c r="I26" i="84"/>
  <c r="F26" i="81"/>
  <c r="B26" i="81" s="1"/>
  <c r="I26" i="81"/>
  <c r="G18" i="2"/>
  <c r="H18" i="2"/>
  <c r="O27" i="91" s="1"/>
  <c r="F19" i="2"/>
  <c r="H27" i="91"/>
  <c r="D26" i="80" l="1"/>
  <c r="E26" i="80" s="1"/>
  <c r="D26" i="90"/>
  <c r="E26" i="90" s="1"/>
  <c r="D26" i="82"/>
  <c r="E26" i="82" s="1"/>
  <c r="C26" i="82" s="1"/>
  <c r="P25" i="80"/>
  <c r="C25" i="82"/>
  <c r="P25" i="86"/>
  <c r="E26" i="86"/>
  <c r="P26" i="86" s="1"/>
  <c r="F27" i="90"/>
  <c r="B27" i="90" s="1"/>
  <c r="I27" i="90"/>
  <c r="F27" i="86"/>
  <c r="B27" i="86" s="1"/>
  <c r="I27" i="86"/>
  <c r="D27" i="86"/>
  <c r="I27" i="82"/>
  <c r="F27" i="82"/>
  <c r="B27" i="82" s="1"/>
  <c r="H28" i="90"/>
  <c r="AG20" i="2"/>
  <c r="AI19" i="2"/>
  <c r="O28" i="90" s="1"/>
  <c r="AH19" i="2"/>
  <c r="P19" i="2"/>
  <c r="Q19" i="2"/>
  <c r="O28" i="82" s="1"/>
  <c r="O20" i="2"/>
  <c r="H28" i="82"/>
  <c r="C25" i="90"/>
  <c r="P25" i="90"/>
  <c r="I20" i="2"/>
  <c r="J19" i="2"/>
  <c r="K19" i="2"/>
  <c r="O28" i="80" s="1"/>
  <c r="H28" i="80"/>
  <c r="I27" i="80"/>
  <c r="F27" i="80"/>
  <c r="B27" i="80" s="1"/>
  <c r="AL19" i="2"/>
  <c r="O28" i="86" s="1"/>
  <c r="H28" i="86"/>
  <c r="AJ20" i="2"/>
  <c r="AK19" i="2"/>
  <c r="D26" i="83"/>
  <c r="E26" i="83" s="1"/>
  <c r="C26" i="83" s="1"/>
  <c r="C25" i="85"/>
  <c r="D26" i="84"/>
  <c r="E26" i="84" s="1"/>
  <c r="P26" i="84" s="1"/>
  <c r="D26" i="89"/>
  <c r="E26" i="89" s="1"/>
  <c r="C26" i="89" s="1"/>
  <c r="D26" i="85"/>
  <c r="E26" i="85" s="1"/>
  <c r="P26" i="85" s="1"/>
  <c r="D26" i="81"/>
  <c r="E26" i="81" s="1"/>
  <c r="C25" i="87"/>
  <c r="P25" i="87"/>
  <c r="I27" i="81"/>
  <c r="F27" i="81"/>
  <c r="H28" i="85"/>
  <c r="AF19" i="2"/>
  <c r="O28" i="85" s="1"/>
  <c r="AD20" i="2"/>
  <c r="AE19" i="2"/>
  <c r="F27" i="89"/>
  <c r="D27" i="89" s="1"/>
  <c r="I27" i="89"/>
  <c r="P25" i="83"/>
  <c r="C25" i="83"/>
  <c r="P25" i="91"/>
  <c r="C25" i="91"/>
  <c r="D26" i="87"/>
  <c r="E26" i="87" s="1"/>
  <c r="C25" i="88"/>
  <c r="P25" i="88"/>
  <c r="H28" i="81"/>
  <c r="E19" i="2"/>
  <c r="O28" i="81" s="1"/>
  <c r="D19" i="2"/>
  <c r="C20" i="2"/>
  <c r="H28" i="89"/>
  <c r="AB19" i="2"/>
  <c r="AA20" i="2"/>
  <c r="AC19" i="2"/>
  <c r="O28" i="89" s="1"/>
  <c r="N19" i="2"/>
  <c r="O28" i="87" s="1"/>
  <c r="L20" i="2"/>
  <c r="H28" i="87"/>
  <c r="M19" i="2"/>
  <c r="P25" i="89"/>
  <c r="C25" i="89"/>
  <c r="W19" i="2"/>
  <c r="O28" i="83" s="1"/>
  <c r="U20" i="2"/>
  <c r="V19" i="2"/>
  <c r="H28" i="83"/>
  <c r="D26" i="91"/>
  <c r="E26" i="91" s="1"/>
  <c r="C25" i="84"/>
  <c r="P25" i="84"/>
  <c r="F20" i="2"/>
  <c r="G19" i="2"/>
  <c r="H28" i="91"/>
  <c r="H19" i="2"/>
  <c r="O28" i="91" s="1"/>
  <c r="F27" i="87"/>
  <c r="B27" i="87" s="1"/>
  <c r="I27" i="87"/>
  <c r="C25" i="81"/>
  <c r="P25" i="81"/>
  <c r="I27" i="83"/>
  <c r="F27" i="83"/>
  <c r="B27" i="83" s="1"/>
  <c r="I27" i="88"/>
  <c r="F27" i="88"/>
  <c r="B27" i="88" s="1"/>
  <c r="D35" i="93"/>
  <c r="F34" i="93"/>
  <c r="B34" i="93" s="1"/>
  <c r="E34" i="93"/>
  <c r="Y19" i="2"/>
  <c r="Z19" i="2"/>
  <c r="O28" i="84" s="1"/>
  <c r="H28" i="84"/>
  <c r="X20" i="2"/>
  <c r="R20" i="2"/>
  <c r="S19" i="2"/>
  <c r="H28" i="88"/>
  <c r="T19" i="2"/>
  <c r="O28" i="88" s="1"/>
  <c r="D26" i="88"/>
  <c r="E26" i="88" s="1"/>
  <c r="F27" i="91"/>
  <c r="B27" i="91" s="1"/>
  <c r="I27" i="91"/>
  <c r="I27" i="85"/>
  <c r="F27" i="85"/>
  <c r="B27" i="85" s="1"/>
  <c r="F27" i="84"/>
  <c r="B27" i="84" s="1"/>
  <c r="I27" i="84"/>
  <c r="D27" i="90" l="1"/>
  <c r="E27" i="90" s="1"/>
  <c r="D27" i="82"/>
  <c r="E27" i="82" s="1"/>
  <c r="D27" i="80"/>
  <c r="E27" i="80" s="1"/>
  <c r="P27" i="80" s="1"/>
  <c r="P26" i="82"/>
  <c r="C26" i="85"/>
  <c r="C26" i="86"/>
  <c r="I28" i="80"/>
  <c r="F28" i="80"/>
  <c r="B28" i="80" s="1"/>
  <c r="F28" i="90"/>
  <c r="B28" i="90" s="1"/>
  <c r="I28" i="90"/>
  <c r="D28" i="90"/>
  <c r="O21" i="2"/>
  <c r="Q20" i="2"/>
  <c r="H29" i="82"/>
  <c r="P20" i="2"/>
  <c r="C26" i="80"/>
  <c r="P26" i="80"/>
  <c r="AJ21" i="2"/>
  <c r="AL20" i="2"/>
  <c r="O29" i="86" s="1"/>
  <c r="H29" i="86"/>
  <c r="AK20" i="2"/>
  <c r="I28" i="86"/>
  <c r="F28" i="86"/>
  <c r="B28" i="86" s="1"/>
  <c r="D28" i="86"/>
  <c r="K20" i="2"/>
  <c r="O29" i="80" s="1"/>
  <c r="H29" i="80"/>
  <c r="J20" i="2"/>
  <c r="I21" i="2"/>
  <c r="AG21" i="2"/>
  <c r="AH20" i="2"/>
  <c r="H29" i="90"/>
  <c r="AI20" i="2"/>
  <c r="O29" i="90" s="1"/>
  <c r="C26" i="90"/>
  <c r="P26" i="90"/>
  <c r="E27" i="86"/>
  <c r="I28" i="82"/>
  <c r="F28" i="82"/>
  <c r="B28" i="82" s="1"/>
  <c r="D27" i="83"/>
  <c r="E27" i="83" s="1"/>
  <c r="P27" i="83" s="1"/>
  <c r="D27" i="91"/>
  <c r="E27" i="91" s="1"/>
  <c r="P26" i="89"/>
  <c r="C26" i="84"/>
  <c r="P26" i="83"/>
  <c r="P26" i="88"/>
  <c r="C26" i="88"/>
  <c r="P26" i="81"/>
  <c r="C26" i="81"/>
  <c r="I28" i="83"/>
  <c r="F28" i="83"/>
  <c r="B28" i="83" s="1"/>
  <c r="L21" i="2"/>
  <c r="N20" i="2"/>
  <c r="O29" i="87" s="1"/>
  <c r="H29" i="87"/>
  <c r="M20" i="2"/>
  <c r="B27" i="81"/>
  <c r="I28" i="88"/>
  <c r="F28" i="88"/>
  <c r="B28" i="88" s="1"/>
  <c r="I28" i="81"/>
  <c r="F28" i="81"/>
  <c r="B28" i="81" s="1"/>
  <c r="F28" i="91"/>
  <c r="B28" i="91" s="1"/>
  <c r="I28" i="91"/>
  <c r="U21" i="2"/>
  <c r="W20" i="2"/>
  <c r="O29" i="83" s="1"/>
  <c r="V20" i="2"/>
  <c r="H29" i="83"/>
  <c r="H29" i="88"/>
  <c r="S20" i="2"/>
  <c r="R21" i="2"/>
  <c r="T20" i="2"/>
  <c r="O29" i="88" s="1"/>
  <c r="N34" i="93"/>
  <c r="O34" i="93" s="1"/>
  <c r="D27" i="88"/>
  <c r="E27" i="88" s="1"/>
  <c r="AB20" i="2"/>
  <c r="AA21" i="2"/>
  <c r="H29" i="89"/>
  <c r="AC20" i="2"/>
  <c r="O29" i="89" s="1"/>
  <c r="AE20" i="2"/>
  <c r="AF20" i="2"/>
  <c r="O29" i="85" s="1"/>
  <c r="AD21" i="2"/>
  <c r="H29" i="85"/>
  <c r="C26" i="91"/>
  <c r="P26" i="91"/>
  <c r="H20" i="2"/>
  <c r="F21" i="2"/>
  <c r="G20" i="2"/>
  <c r="H29" i="91"/>
  <c r="C26" i="87"/>
  <c r="P26" i="87"/>
  <c r="Z20" i="2"/>
  <c r="O29" i="84" s="1"/>
  <c r="Y20" i="2"/>
  <c r="X21" i="2"/>
  <c r="H29" i="84"/>
  <c r="F35" i="93"/>
  <c r="B35" i="93" s="1"/>
  <c r="E35" i="93"/>
  <c r="D36" i="93"/>
  <c r="D27" i="84"/>
  <c r="E27" i="84" s="1"/>
  <c r="F28" i="84"/>
  <c r="B28" i="84" s="1"/>
  <c r="I28" i="84"/>
  <c r="M34" i="93"/>
  <c r="D27" i="87"/>
  <c r="E27" i="87" s="1"/>
  <c r="F28" i="89"/>
  <c r="B28" i="89" s="1"/>
  <c r="I28" i="89"/>
  <c r="F28" i="85"/>
  <c r="B28" i="85" s="1"/>
  <c r="I28" i="85"/>
  <c r="D20" i="2"/>
  <c r="C21" i="2"/>
  <c r="E20" i="2"/>
  <c r="O29" i="81" s="1"/>
  <c r="H29" i="81"/>
  <c r="D27" i="85"/>
  <c r="E27" i="85" s="1"/>
  <c r="I28" i="87"/>
  <c r="F28" i="87"/>
  <c r="B28" i="87" s="1"/>
  <c r="E27" i="89"/>
  <c r="B27" i="89"/>
  <c r="D27" i="81"/>
  <c r="E27" i="81" s="1"/>
  <c r="D28" i="82" l="1"/>
  <c r="E28" i="82" s="1"/>
  <c r="D28" i="80"/>
  <c r="E28" i="80" s="1"/>
  <c r="P28" i="80" s="1"/>
  <c r="C27" i="80"/>
  <c r="E28" i="90"/>
  <c r="C28" i="90" s="1"/>
  <c r="F29" i="80"/>
  <c r="B29" i="80" s="1"/>
  <c r="I29" i="80"/>
  <c r="D29" i="80"/>
  <c r="D29" i="86"/>
  <c r="I29" i="86"/>
  <c r="F29" i="86"/>
  <c r="B29" i="86" s="1"/>
  <c r="O22" i="2"/>
  <c r="Q21" i="2"/>
  <c r="O30" i="82" s="1"/>
  <c r="P21" i="2"/>
  <c r="H30" i="82"/>
  <c r="E28" i="86"/>
  <c r="H30" i="86"/>
  <c r="AL21" i="2"/>
  <c r="O30" i="86" s="1"/>
  <c r="AK21" i="2"/>
  <c r="AJ22" i="2"/>
  <c r="C27" i="83"/>
  <c r="I29" i="90"/>
  <c r="F29" i="90"/>
  <c r="B29" i="90" s="1"/>
  <c r="C27" i="86"/>
  <c r="P27" i="86"/>
  <c r="AG22" i="2"/>
  <c r="AH21" i="2"/>
  <c r="H30" i="90"/>
  <c r="AI21" i="2"/>
  <c r="O30" i="90" s="1"/>
  <c r="C27" i="82"/>
  <c r="P27" i="82"/>
  <c r="J21" i="2"/>
  <c r="H30" i="80"/>
  <c r="K21" i="2"/>
  <c r="O30" i="80" s="1"/>
  <c r="I22" i="2"/>
  <c r="C27" i="90"/>
  <c r="P27" i="90"/>
  <c r="I29" i="82"/>
  <c r="F29" i="82"/>
  <c r="B29" i="82" s="1"/>
  <c r="D28" i="83"/>
  <c r="E28" i="83" s="1"/>
  <c r="D28" i="87"/>
  <c r="E28" i="87" s="1"/>
  <c r="P27" i="85"/>
  <c r="C27" i="85"/>
  <c r="P27" i="81"/>
  <c r="C27" i="81"/>
  <c r="D21" i="2"/>
  <c r="C22" i="2"/>
  <c r="E21" i="2"/>
  <c r="O30" i="81" s="1"/>
  <c r="H30" i="81"/>
  <c r="I29" i="91"/>
  <c r="F29" i="91"/>
  <c r="B29" i="91" s="1"/>
  <c r="H30" i="88"/>
  <c r="R22" i="2"/>
  <c r="S21" i="2"/>
  <c r="T21" i="2"/>
  <c r="O30" i="88" s="1"/>
  <c r="D28" i="89"/>
  <c r="E28" i="89" s="1"/>
  <c r="D28" i="84"/>
  <c r="E28" i="84" s="1"/>
  <c r="M35" i="93"/>
  <c r="G21" i="2"/>
  <c r="H21" i="2"/>
  <c r="O30" i="91" s="1"/>
  <c r="F22" i="2"/>
  <c r="H30" i="91"/>
  <c r="I29" i="83"/>
  <c r="F29" i="83"/>
  <c r="B29" i="83" s="1"/>
  <c r="P27" i="88"/>
  <c r="C27" i="88"/>
  <c r="D28" i="88"/>
  <c r="E28" i="88" s="1"/>
  <c r="F29" i="81"/>
  <c r="B29" i="81" s="1"/>
  <c r="I29" i="81"/>
  <c r="C27" i="87"/>
  <c r="P27" i="87"/>
  <c r="N35" i="93"/>
  <c r="O35" i="93" s="1"/>
  <c r="I29" i="89"/>
  <c r="F29" i="89"/>
  <c r="B29" i="89" s="1"/>
  <c r="F29" i="88"/>
  <c r="B29" i="88" s="1"/>
  <c r="I29" i="88"/>
  <c r="D28" i="81"/>
  <c r="E28" i="81" s="1"/>
  <c r="F29" i="87"/>
  <c r="B29" i="87" s="1"/>
  <c r="I29" i="87"/>
  <c r="I29" i="84"/>
  <c r="F29" i="84"/>
  <c r="B29" i="84" s="1"/>
  <c r="AB21" i="2"/>
  <c r="AC21" i="2"/>
  <c r="O30" i="89" s="1"/>
  <c r="AA22" i="2"/>
  <c r="H30" i="89"/>
  <c r="M21" i="2"/>
  <c r="L22" i="2"/>
  <c r="H30" i="87"/>
  <c r="N21" i="2"/>
  <c r="O30" i="87" s="1"/>
  <c r="P27" i="91"/>
  <c r="C27" i="91"/>
  <c r="X22" i="2"/>
  <c r="Z21" i="2"/>
  <c r="O30" i="84" s="1"/>
  <c r="H30" i="84"/>
  <c r="Y21" i="2"/>
  <c r="H30" i="83"/>
  <c r="W21" i="2"/>
  <c r="O30" i="83" s="1"/>
  <c r="U22" i="2"/>
  <c r="V21" i="2"/>
  <c r="P27" i="89"/>
  <c r="C27" i="89"/>
  <c r="D28" i="85"/>
  <c r="E28" i="85" s="1"/>
  <c r="I29" i="85"/>
  <c r="F29" i="85"/>
  <c r="B29" i="85" s="1"/>
  <c r="C27" i="84"/>
  <c r="P27" i="84"/>
  <c r="D37" i="93"/>
  <c r="F36" i="93"/>
  <c r="B36" i="93" s="1"/>
  <c r="E36" i="93"/>
  <c r="AD22" i="2"/>
  <c r="H30" i="85"/>
  <c r="AE21" i="2"/>
  <c r="AF21" i="2"/>
  <c r="O30" i="85" s="1"/>
  <c r="D28" i="91"/>
  <c r="E28" i="91" s="1"/>
  <c r="D29" i="82" l="1"/>
  <c r="E29" i="82" s="1"/>
  <c r="P29" i="82" s="1"/>
  <c r="D29" i="90"/>
  <c r="E29" i="90" s="1"/>
  <c r="P29" i="90" s="1"/>
  <c r="C28" i="80"/>
  <c r="P28" i="90"/>
  <c r="E29" i="80"/>
  <c r="C29" i="80" s="1"/>
  <c r="E29" i="86"/>
  <c r="P29" i="86" s="1"/>
  <c r="P22" i="2"/>
  <c r="H31" i="82"/>
  <c r="O23" i="2"/>
  <c r="Q22" i="2"/>
  <c r="O31" i="82" s="1"/>
  <c r="I30" i="86"/>
  <c r="F30" i="86"/>
  <c r="B30" i="86" s="1"/>
  <c r="D30" i="86"/>
  <c r="H31" i="80"/>
  <c r="J22" i="2"/>
  <c r="K22" i="2"/>
  <c r="O31" i="80" s="1"/>
  <c r="I23" i="2"/>
  <c r="P28" i="86"/>
  <c r="C28" i="86"/>
  <c r="F30" i="90"/>
  <c r="B30" i="90" s="1"/>
  <c r="I30" i="90"/>
  <c r="C28" i="82"/>
  <c r="P28" i="82"/>
  <c r="I30" i="82"/>
  <c r="F30" i="82"/>
  <c r="B30" i="82" s="1"/>
  <c r="AI22" i="2"/>
  <c r="O31" i="90" s="1"/>
  <c r="AH22" i="2"/>
  <c r="AG23" i="2"/>
  <c r="H31" i="90"/>
  <c r="I30" i="80"/>
  <c r="F30" i="80"/>
  <c r="B30" i="80" s="1"/>
  <c r="AL22" i="2"/>
  <c r="O31" i="86" s="1"/>
  <c r="H31" i="86"/>
  <c r="AK22" i="2"/>
  <c r="AJ23" i="2"/>
  <c r="D29" i="85"/>
  <c r="E29" i="85" s="1"/>
  <c r="C29" i="85" s="1"/>
  <c r="D29" i="89"/>
  <c r="E29" i="89" s="1"/>
  <c r="P29" i="89" s="1"/>
  <c r="C28" i="88"/>
  <c r="P28" i="88"/>
  <c r="C28" i="91"/>
  <c r="P28" i="91"/>
  <c r="C28" i="89"/>
  <c r="P28" i="89"/>
  <c r="H31" i="88"/>
  <c r="T22" i="2"/>
  <c r="O31" i="88" s="1"/>
  <c r="S22" i="2"/>
  <c r="R23" i="2"/>
  <c r="D22" i="2"/>
  <c r="C23" i="2"/>
  <c r="E22" i="2"/>
  <c r="O31" i="81" s="1"/>
  <c r="H31" i="81"/>
  <c r="F30" i="88"/>
  <c r="B30" i="88" s="1"/>
  <c r="I30" i="88"/>
  <c r="C28" i="85"/>
  <c r="P28" i="85"/>
  <c r="D29" i="84"/>
  <c r="E29" i="84" s="1"/>
  <c r="D29" i="88"/>
  <c r="E29" i="88" s="1"/>
  <c r="F30" i="91"/>
  <c r="B30" i="91" s="1"/>
  <c r="I30" i="91"/>
  <c r="D29" i="91"/>
  <c r="E29" i="91" s="1"/>
  <c r="E37" i="93"/>
  <c r="D38" i="93"/>
  <c r="F37" i="93"/>
  <c r="B37" i="93" s="1"/>
  <c r="N37" i="93"/>
  <c r="M36" i="93"/>
  <c r="I30" i="84"/>
  <c r="F30" i="84"/>
  <c r="B30" i="84" s="1"/>
  <c r="F30" i="87"/>
  <c r="B30" i="87" s="1"/>
  <c r="I30" i="87"/>
  <c r="F23" i="2"/>
  <c r="H22" i="2"/>
  <c r="O31" i="91" s="1"/>
  <c r="G22" i="2"/>
  <c r="H31" i="91"/>
  <c r="P28" i="87"/>
  <c r="C28" i="87"/>
  <c r="P28" i="84"/>
  <c r="C28" i="84"/>
  <c r="N36" i="93"/>
  <c r="O36" i="93" s="1"/>
  <c r="I30" i="83"/>
  <c r="F30" i="83"/>
  <c r="B30" i="83" s="1"/>
  <c r="H31" i="87"/>
  <c r="N22" i="2"/>
  <c r="O31" i="87" s="1"/>
  <c r="M22" i="2"/>
  <c r="L23" i="2"/>
  <c r="F30" i="85"/>
  <c r="B30" i="85" s="1"/>
  <c r="I30" i="85"/>
  <c r="H31" i="84"/>
  <c r="X23" i="2"/>
  <c r="Z22" i="2"/>
  <c r="O31" i="84" s="1"/>
  <c r="Y22" i="2"/>
  <c r="D29" i="87"/>
  <c r="E29" i="87" s="1"/>
  <c r="AE22" i="2"/>
  <c r="AF22" i="2"/>
  <c r="O31" i="85" s="1"/>
  <c r="H31" i="85"/>
  <c r="AD23" i="2"/>
  <c r="F30" i="89"/>
  <c r="B30" i="89" s="1"/>
  <c r="I30" i="89"/>
  <c r="C28" i="81"/>
  <c r="P28" i="81"/>
  <c r="D29" i="83"/>
  <c r="E29" i="83" s="1"/>
  <c r="F30" i="81"/>
  <c r="B30" i="81" s="1"/>
  <c r="I30" i="81"/>
  <c r="P28" i="83"/>
  <c r="C28" i="83"/>
  <c r="V22" i="2"/>
  <c r="W22" i="2"/>
  <c r="O31" i="83" s="1"/>
  <c r="H31" i="83"/>
  <c r="U23" i="2"/>
  <c r="AB22" i="2"/>
  <c r="AA23" i="2"/>
  <c r="H31" i="89"/>
  <c r="AC22" i="2"/>
  <c r="O31" i="89" s="1"/>
  <c r="D29" i="81"/>
  <c r="E29" i="81" s="1"/>
  <c r="D30" i="90" l="1"/>
  <c r="E30" i="90" s="1"/>
  <c r="D30" i="80"/>
  <c r="E30" i="80" s="1"/>
  <c r="D30" i="82"/>
  <c r="E30" i="82" s="1"/>
  <c r="C29" i="90"/>
  <c r="C29" i="86"/>
  <c r="P29" i="80"/>
  <c r="E30" i="86"/>
  <c r="P30" i="86" s="1"/>
  <c r="C29" i="82"/>
  <c r="I24" i="2"/>
  <c r="J23" i="2"/>
  <c r="H32" i="80"/>
  <c r="K23" i="2"/>
  <c r="O32" i="80" s="1"/>
  <c r="D31" i="86"/>
  <c r="F31" i="86"/>
  <c r="B31" i="86" s="1"/>
  <c r="I31" i="86"/>
  <c r="I31" i="80"/>
  <c r="F31" i="80"/>
  <c r="B31" i="80" s="1"/>
  <c r="D31" i="80"/>
  <c r="P23" i="2"/>
  <c r="H32" i="82"/>
  <c r="O24" i="2"/>
  <c r="Q23" i="2"/>
  <c r="O32" i="82" s="1"/>
  <c r="I31" i="90"/>
  <c r="F31" i="90"/>
  <c r="B31" i="90" s="1"/>
  <c r="D31" i="90"/>
  <c r="F31" i="82"/>
  <c r="B31" i="82" s="1"/>
  <c r="I31" i="82"/>
  <c r="H32" i="86"/>
  <c r="AK23" i="2"/>
  <c r="AL23" i="2"/>
  <c r="O32" i="86" s="1"/>
  <c r="AJ24" i="2"/>
  <c r="AI23" i="2"/>
  <c r="O32" i="90" s="1"/>
  <c r="AG24" i="2"/>
  <c r="AH23" i="2"/>
  <c r="H32" i="90"/>
  <c r="C29" i="89"/>
  <c r="D30" i="83"/>
  <c r="E30" i="83" s="1"/>
  <c r="P29" i="85"/>
  <c r="D30" i="88"/>
  <c r="E30" i="88" s="1"/>
  <c r="P30" i="88" s="1"/>
  <c r="D30" i="85"/>
  <c r="E30" i="85" s="1"/>
  <c r="P30" i="85" s="1"/>
  <c r="D30" i="87"/>
  <c r="E30" i="87" s="1"/>
  <c r="P29" i="81"/>
  <c r="C29" i="81"/>
  <c r="P29" i="87"/>
  <c r="C29" i="87"/>
  <c r="F31" i="85"/>
  <c r="B31" i="85" s="1"/>
  <c r="I31" i="85"/>
  <c r="I31" i="84"/>
  <c r="F31" i="84"/>
  <c r="B31" i="84" s="1"/>
  <c r="F31" i="87"/>
  <c r="B31" i="87" s="1"/>
  <c r="I31" i="87"/>
  <c r="F24" i="2"/>
  <c r="H32" i="91"/>
  <c r="G23" i="2"/>
  <c r="H23" i="2"/>
  <c r="O32" i="91" s="1"/>
  <c r="C29" i="91"/>
  <c r="P29" i="91"/>
  <c r="AD24" i="2"/>
  <c r="H32" i="85"/>
  <c r="AE23" i="2"/>
  <c r="AF23" i="2"/>
  <c r="O32" i="85" s="1"/>
  <c r="F31" i="89"/>
  <c r="D31" i="89" s="1"/>
  <c r="I31" i="89"/>
  <c r="D30" i="84"/>
  <c r="E30" i="84" s="1"/>
  <c r="C37" i="93"/>
  <c r="O37" i="93"/>
  <c r="F31" i="81"/>
  <c r="B31" i="81" s="1"/>
  <c r="I31" i="81"/>
  <c r="R24" i="2"/>
  <c r="S23" i="2"/>
  <c r="T23" i="2"/>
  <c r="O32" i="88" s="1"/>
  <c r="H32" i="88"/>
  <c r="Y23" i="2"/>
  <c r="H32" i="84"/>
  <c r="X24" i="2"/>
  <c r="Z23" i="2"/>
  <c r="O32" i="84" s="1"/>
  <c r="C29" i="84"/>
  <c r="P29" i="84"/>
  <c r="H32" i="89"/>
  <c r="AC23" i="2"/>
  <c r="O32" i="89" s="1"/>
  <c r="AA24" i="2"/>
  <c r="AB23" i="2"/>
  <c r="P29" i="88"/>
  <c r="C29" i="88"/>
  <c r="D39" i="93"/>
  <c r="F38" i="93"/>
  <c r="B38" i="93" s="1"/>
  <c r="E38" i="93"/>
  <c r="M38" i="93"/>
  <c r="N38" i="93" s="1"/>
  <c r="O38" i="93" s="1"/>
  <c r="D30" i="91"/>
  <c r="E30" i="91" s="1"/>
  <c r="E23" i="2"/>
  <c r="O32" i="81" s="1"/>
  <c r="C24" i="2"/>
  <c r="H32" i="81"/>
  <c r="D23" i="2"/>
  <c r="M37" i="93"/>
  <c r="I31" i="88"/>
  <c r="F31" i="88"/>
  <c r="B31" i="88" s="1"/>
  <c r="P29" i="83"/>
  <c r="C29" i="83"/>
  <c r="H32" i="83"/>
  <c r="W23" i="2"/>
  <c r="O32" i="83" s="1"/>
  <c r="V23" i="2"/>
  <c r="U24" i="2"/>
  <c r="F31" i="83"/>
  <c r="B31" i="83" s="1"/>
  <c r="I31" i="83"/>
  <c r="D30" i="81"/>
  <c r="E30" i="81" s="1"/>
  <c r="D30" i="89"/>
  <c r="E30" i="89" s="1"/>
  <c r="H32" i="87"/>
  <c r="L24" i="2"/>
  <c r="N23" i="2"/>
  <c r="O32" i="87" s="1"/>
  <c r="M23" i="2"/>
  <c r="I31" i="91"/>
  <c r="F31" i="91"/>
  <c r="B31" i="91" s="1"/>
  <c r="D31" i="82" l="1"/>
  <c r="E31" i="82" s="1"/>
  <c r="P31" i="82" s="1"/>
  <c r="C30" i="86"/>
  <c r="E31" i="80"/>
  <c r="C31" i="80" s="1"/>
  <c r="E31" i="90"/>
  <c r="C31" i="90" s="1"/>
  <c r="C30" i="82"/>
  <c r="P30" i="82"/>
  <c r="E31" i="86"/>
  <c r="AJ25" i="2"/>
  <c r="AL24" i="2"/>
  <c r="O33" i="86" s="1"/>
  <c r="H33" i="86"/>
  <c r="AK24" i="2"/>
  <c r="F32" i="86"/>
  <c r="B32" i="86" s="1"/>
  <c r="I32" i="86"/>
  <c r="D32" i="86"/>
  <c r="F32" i="82"/>
  <c r="B32" i="82" s="1"/>
  <c r="I32" i="82"/>
  <c r="C30" i="90"/>
  <c r="P30" i="90"/>
  <c r="F32" i="90"/>
  <c r="B32" i="90" s="1"/>
  <c r="I32" i="90"/>
  <c r="D32" i="90"/>
  <c r="Q24" i="2"/>
  <c r="O33" i="82" s="1"/>
  <c r="H33" i="82"/>
  <c r="O25" i="2"/>
  <c r="P24" i="2"/>
  <c r="I32" i="80"/>
  <c r="F32" i="80"/>
  <c r="B32" i="80" s="1"/>
  <c r="AI24" i="2"/>
  <c r="O33" i="90" s="1"/>
  <c r="AH24" i="2"/>
  <c r="H33" i="90"/>
  <c r="AG25" i="2"/>
  <c r="C30" i="80"/>
  <c r="P30" i="80"/>
  <c r="K24" i="2"/>
  <c r="O33" i="80" s="1"/>
  <c r="J24" i="2"/>
  <c r="I25" i="2"/>
  <c r="H33" i="80"/>
  <c r="C30" i="85"/>
  <c r="C30" i="88"/>
  <c r="D31" i="88"/>
  <c r="D31" i="91"/>
  <c r="E31" i="91" s="1"/>
  <c r="D31" i="81"/>
  <c r="E31" i="81" s="1"/>
  <c r="P30" i="89"/>
  <c r="C30" i="89"/>
  <c r="C30" i="81"/>
  <c r="P30" i="81"/>
  <c r="D31" i="85"/>
  <c r="E31" i="85" s="1"/>
  <c r="R25" i="2"/>
  <c r="T24" i="2"/>
  <c r="O33" i="88" s="1"/>
  <c r="H33" i="88"/>
  <c r="S24" i="2"/>
  <c r="M24" i="2"/>
  <c r="N24" i="2"/>
  <c r="O33" i="87" s="1"/>
  <c r="L25" i="2"/>
  <c r="H33" i="87"/>
  <c r="V24" i="2"/>
  <c r="H33" i="83"/>
  <c r="W24" i="2"/>
  <c r="O33" i="83" s="1"/>
  <c r="U25" i="2"/>
  <c r="I32" i="84"/>
  <c r="F32" i="84"/>
  <c r="B32" i="84" s="1"/>
  <c r="F32" i="85"/>
  <c r="B32" i="85" s="1"/>
  <c r="I32" i="85"/>
  <c r="F32" i="83"/>
  <c r="I32" i="83"/>
  <c r="E39" i="93"/>
  <c r="D40" i="93"/>
  <c r="F39" i="93"/>
  <c r="B39" i="93" s="1"/>
  <c r="M39" i="93"/>
  <c r="N39" i="93" s="1"/>
  <c r="O39" i="93" s="1"/>
  <c r="AD25" i="2"/>
  <c r="AE24" i="2"/>
  <c r="H33" i="85"/>
  <c r="AF24" i="2"/>
  <c r="O33" i="85" s="1"/>
  <c r="I32" i="87"/>
  <c r="F32" i="87"/>
  <c r="B32" i="87" s="1"/>
  <c r="F32" i="81"/>
  <c r="B32" i="81" s="1"/>
  <c r="I32" i="81"/>
  <c r="C30" i="87"/>
  <c r="P30" i="87"/>
  <c r="AA25" i="2"/>
  <c r="H33" i="89"/>
  <c r="AC24" i="2"/>
  <c r="O33" i="89" s="1"/>
  <c r="AB24" i="2"/>
  <c r="C30" i="84"/>
  <c r="P30" i="84"/>
  <c r="I32" i="91"/>
  <c r="F32" i="91"/>
  <c r="B32" i="91" s="1"/>
  <c r="Y24" i="2"/>
  <c r="H33" i="84"/>
  <c r="X25" i="2"/>
  <c r="Z24" i="2"/>
  <c r="O33" i="84" s="1"/>
  <c r="C25" i="2"/>
  <c r="E24" i="2"/>
  <c r="O33" i="81" s="1"/>
  <c r="D24" i="2"/>
  <c r="H33" i="81"/>
  <c r="F25" i="2"/>
  <c r="G24" i="2"/>
  <c r="H24" i="2"/>
  <c r="O33" i="91" s="1"/>
  <c r="H33" i="91"/>
  <c r="D31" i="84"/>
  <c r="E31" i="84" s="1"/>
  <c r="P30" i="83"/>
  <c r="C30" i="83"/>
  <c r="D31" i="83"/>
  <c r="E31" i="83" s="1"/>
  <c r="E31" i="88"/>
  <c r="F32" i="89"/>
  <c r="B32" i="89" s="1"/>
  <c r="I32" i="89"/>
  <c r="I32" i="88"/>
  <c r="F32" i="88"/>
  <c r="B32" i="88" s="1"/>
  <c r="P30" i="91"/>
  <c r="C30" i="91"/>
  <c r="E31" i="89"/>
  <c r="B31" i="89"/>
  <c r="D31" i="87"/>
  <c r="E31" i="87" s="1"/>
  <c r="D32" i="80" l="1"/>
  <c r="E32" i="80" s="1"/>
  <c r="D32" i="82"/>
  <c r="E32" i="82" s="1"/>
  <c r="P32" i="82" s="1"/>
  <c r="P31" i="80"/>
  <c r="P31" i="90"/>
  <c r="C31" i="82"/>
  <c r="F33" i="86"/>
  <c r="B33" i="86" s="1"/>
  <c r="D33" i="86"/>
  <c r="I33" i="86"/>
  <c r="AI25" i="2"/>
  <c r="O34" i="90" s="1"/>
  <c r="AH25" i="2"/>
  <c r="H34" i="90"/>
  <c r="AG26" i="2"/>
  <c r="AJ26" i="2"/>
  <c r="H34" i="86"/>
  <c r="AL25" i="2"/>
  <c r="O34" i="86" s="1"/>
  <c r="AK25" i="2"/>
  <c r="F33" i="90"/>
  <c r="B33" i="90" s="1"/>
  <c r="I33" i="90"/>
  <c r="P25" i="2"/>
  <c r="O26" i="2"/>
  <c r="H34" i="82"/>
  <c r="Q25" i="2"/>
  <c r="O34" i="82" s="1"/>
  <c r="C31" i="86"/>
  <c r="P31" i="86"/>
  <c r="I33" i="80"/>
  <c r="F33" i="80"/>
  <c r="B33" i="80" s="1"/>
  <c r="F33" i="82"/>
  <c r="B33" i="82" s="1"/>
  <c r="I33" i="82"/>
  <c r="E32" i="90"/>
  <c r="K25" i="2"/>
  <c r="O34" i="80" s="1"/>
  <c r="I26" i="2"/>
  <c r="H34" i="80"/>
  <c r="J25" i="2"/>
  <c r="E32" i="86"/>
  <c r="D32" i="84"/>
  <c r="E32" i="84" s="1"/>
  <c r="C32" i="84" s="1"/>
  <c r="P31" i="91"/>
  <c r="C31" i="91"/>
  <c r="D32" i="88"/>
  <c r="E32" i="88" s="1"/>
  <c r="D32" i="81"/>
  <c r="E32" i="81" s="1"/>
  <c r="D32" i="91"/>
  <c r="E32" i="91" s="1"/>
  <c r="P31" i="85"/>
  <c r="C31" i="85"/>
  <c r="C31" i="83"/>
  <c r="P31" i="83"/>
  <c r="P31" i="84"/>
  <c r="C31" i="84"/>
  <c r="H34" i="84"/>
  <c r="Y25" i="2"/>
  <c r="X26" i="2"/>
  <c r="Z25" i="2"/>
  <c r="O34" i="84" s="1"/>
  <c r="D32" i="87"/>
  <c r="E32" i="87" s="1"/>
  <c r="I33" i="87"/>
  <c r="F33" i="87"/>
  <c r="B33" i="87" s="1"/>
  <c r="T25" i="2"/>
  <c r="O34" i="88" s="1"/>
  <c r="R26" i="2"/>
  <c r="H34" i="88"/>
  <c r="S25" i="2"/>
  <c r="P31" i="81"/>
  <c r="C31" i="81"/>
  <c r="I33" i="89"/>
  <c r="F33" i="89"/>
  <c r="B33" i="89" s="1"/>
  <c r="F33" i="84"/>
  <c r="B33" i="84" s="1"/>
  <c r="I33" i="84"/>
  <c r="I33" i="85"/>
  <c r="F33" i="85"/>
  <c r="B33" i="85" s="1"/>
  <c r="N25" i="2"/>
  <c r="O34" i="87" s="1"/>
  <c r="H34" i="87"/>
  <c r="M25" i="2"/>
  <c r="L26" i="2"/>
  <c r="I33" i="81"/>
  <c r="F33" i="81"/>
  <c r="B33" i="81" s="1"/>
  <c r="AA26" i="2"/>
  <c r="AC25" i="2"/>
  <c r="O34" i="89" s="1"/>
  <c r="H34" i="89"/>
  <c r="AB25" i="2"/>
  <c r="AF25" i="2"/>
  <c r="O34" i="85" s="1"/>
  <c r="H34" i="85"/>
  <c r="AE25" i="2"/>
  <c r="AD26" i="2"/>
  <c r="D32" i="85"/>
  <c r="E32" i="85" s="1"/>
  <c r="C31" i="89"/>
  <c r="P31" i="89"/>
  <c r="B32" i="83"/>
  <c r="H34" i="83"/>
  <c r="W25" i="2"/>
  <c r="O34" i="83" s="1"/>
  <c r="V25" i="2"/>
  <c r="U26" i="2"/>
  <c r="P31" i="88"/>
  <c r="C31" i="88"/>
  <c r="I33" i="91"/>
  <c r="F33" i="91"/>
  <c r="B33" i="91" s="1"/>
  <c r="H34" i="91"/>
  <c r="F26" i="2"/>
  <c r="G25" i="2"/>
  <c r="H25" i="2"/>
  <c r="O34" i="91" s="1"/>
  <c r="D32" i="83"/>
  <c r="E32" i="83" s="1"/>
  <c r="C31" i="87"/>
  <c r="P31" i="87"/>
  <c r="D32" i="89"/>
  <c r="E32" i="89" s="1"/>
  <c r="H34" i="81"/>
  <c r="C26" i="2"/>
  <c r="E25" i="2"/>
  <c r="O34" i="81" s="1"/>
  <c r="D25" i="2"/>
  <c r="D41" i="93"/>
  <c r="E40" i="93"/>
  <c r="F40" i="93"/>
  <c r="B40" i="93" s="1"/>
  <c r="M40" i="93"/>
  <c r="N40" i="93" s="1"/>
  <c r="O40" i="93" s="1"/>
  <c r="F33" i="83"/>
  <c r="B33" i="83" s="1"/>
  <c r="I33" i="83"/>
  <c r="I33" i="88"/>
  <c r="F33" i="88"/>
  <c r="B33" i="88" s="1"/>
  <c r="D33" i="90" l="1"/>
  <c r="E33" i="90" s="1"/>
  <c r="P33" i="90" s="1"/>
  <c r="D33" i="82"/>
  <c r="E33" i="82" s="1"/>
  <c r="D33" i="80"/>
  <c r="E33" i="80" s="1"/>
  <c r="E33" i="86"/>
  <c r="C33" i="86" s="1"/>
  <c r="C32" i="82"/>
  <c r="P32" i="84"/>
  <c r="P32" i="90"/>
  <c r="C32" i="90"/>
  <c r="H35" i="90"/>
  <c r="AH26" i="2"/>
  <c r="AG27" i="2"/>
  <c r="AI26" i="2"/>
  <c r="O35" i="90" s="1"/>
  <c r="C32" i="80"/>
  <c r="P32" i="80"/>
  <c r="I34" i="90"/>
  <c r="F34" i="90"/>
  <c r="B34" i="90" s="1"/>
  <c r="P32" i="86"/>
  <c r="C32" i="86"/>
  <c r="I34" i="80"/>
  <c r="F34" i="80"/>
  <c r="B34" i="80" s="1"/>
  <c r="I27" i="2"/>
  <c r="J26" i="2"/>
  <c r="H35" i="80"/>
  <c r="K26" i="2"/>
  <c r="O35" i="80" s="1"/>
  <c r="I34" i="82"/>
  <c r="F34" i="82"/>
  <c r="B34" i="82" s="1"/>
  <c r="D34" i="82"/>
  <c r="D34" i="86"/>
  <c r="F34" i="86"/>
  <c r="B34" i="86" s="1"/>
  <c r="I34" i="86"/>
  <c r="Q26" i="2"/>
  <c r="O35" i="82" s="1"/>
  <c r="P26" i="2"/>
  <c r="O27" i="2"/>
  <c r="H35" i="82"/>
  <c r="H35" i="86"/>
  <c r="AK26" i="2"/>
  <c r="AL26" i="2"/>
  <c r="O35" i="86" s="1"/>
  <c r="AJ27" i="2"/>
  <c r="D33" i="84"/>
  <c r="E33" i="84" s="1"/>
  <c r="P33" i="84" s="1"/>
  <c r="D33" i="88"/>
  <c r="E33" i="88" s="1"/>
  <c r="C33" i="88" s="1"/>
  <c r="C32" i="88"/>
  <c r="P32" i="88"/>
  <c r="C32" i="85"/>
  <c r="P32" i="85"/>
  <c r="C32" i="89"/>
  <c r="P32" i="89"/>
  <c r="D26" i="2"/>
  <c r="E26" i="2"/>
  <c r="O35" i="81" s="1"/>
  <c r="C27" i="2"/>
  <c r="H35" i="81"/>
  <c r="D33" i="91"/>
  <c r="E33" i="91" s="1"/>
  <c r="F34" i="83"/>
  <c r="B34" i="83" s="1"/>
  <c r="I34" i="83"/>
  <c r="H35" i="89"/>
  <c r="AC26" i="2"/>
  <c r="O35" i="89" s="1"/>
  <c r="AA27" i="2"/>
  <c r="AB26" i="2"/>
  <c r="D33" i="89"/>
  <c r="E33" i="89" s="1"/>
  <c r="F41" i="93"/>
  <c r="B41" i="93" s="1"/>
  <c r="D42" i="93"/>
  <c r="E41" i="93"/>
  <c r="F34" i="81"/>
  <c r="B34" i="81" s="1"/>
  <c r="I34" i="81"/>
  <c r="AE26" i="2"/>
  <c r="H35" i="85"/>
  <c r="AF26" i="2"/>
  <c r="O35" i="85" s="1"/>
  <c r="AD27" i="2"/>
  <c r="I34" i="88"/>
  <c r="F34" i="88"/>
  <c r="B34" i="88" s="1"/>
  <c r="C32" i="83"/>
  <c r="P32" i="83"/>
  <c r="D33" i="81"/>
  <c r="E33" i="81" s="1"/>
  <c r="H35" i="88"/>
  <c r="S26" i="2"/>
  <c r="R27" i="2"/>
  <c r="T26" i="2"/>
  <c r="O35" i="88" s="1"/>
  <c r="D33" i="83"/>
  <c r="E33" i="83" s="1"/>
  <c r="P32" i="87"/>
  <c r="C32" i="87"/>
  <c r="F34" i="85"/>
  <c r="B34" i="85" s="1"/>
  <c r="I34" i="85"/>
  <c r="D33" i="85"/>
  <c r="E33" i="85" s="1"/>
  <c r="H35" i="84"/>
  <c r="X27" i="2"/>
  <c r="Y26" i="2"/>
  <c r="Z26" i="2"/>
  <c r="O35" i="84" s="1"/>
  <c r="N26" i="2"/>
  <c r="O35" i="87" s="1"/>
  <c r="M26" i="2"/>
  <c r="L27" i="2"/>
  <c r="H35" i="87"/>
  <c r="P32" i="81"/>
  <c r="C32" i="81"/>
  <c r="P32" i="91"/>
  <c r="C32" i="91"/>
  <c r="G26" i="2"/>
  <c r="H26" i="2"/>
  <c r="O35" i="91" s="1"/>
  <c r="H35" i="91"/>
  <c r="F27" i="2"/>
  <c r="H35" i="83"/>
  <c r="V26" i="2"/>
  <c r="U27" i="2"/>
  <c r="W26" i="2"/>
  <c r="O35" i="83" s="1"/>
  <c r="D33" i="87"/>
  <c r="E33" i="87" s="1"/>
  <c r="I34" i="84"/>
  <c r="F34" i="84"/>
  <c r="B34" i="84" s="1"/>
  <c r="F34" i="91"/>
  <c r="B34" i="91" s="1"/>
  <c r="I34" i="91"/>
  <c r="I34" i="89"/>
  <c r="F34" i="89"/>
  <c r="B34" i="89" s="1"/>
  <c r="I34" i="87"/>
  <c r="F34" i="87"/>
  <c r="B34" i="87" s="1"/>
  <c r="D34" i="80" l="1"/>
  <c r="E34" i="80" s="1"/>
  <c r="C34" i="80" s="1"/>
  <c r="D34" i="90"/>
  <c r="E34" i="90" s="1"/>
  <c r="P33" i="86"/>
  <c r="E34" i="82"/>
  <c r="C34" i="82" s="1"/>
  <c r="C33" i="90"/>
  <c r="E34" i="86"/>
  <c r="C34" i="86" s="1"/>
  <c r="F35" i="86"/>
  <c r="B35" i="86" s="1"/>
  <c r="D35" i="86"/>
  <c r="I35" i="86"/>
  <c r="I28" i="2"/>
  <c r="H36" i="80"/>
  <c r="J27" i="2"/>
  <c r="K27" i="2"/>
  <c r="O36" i="80" s="1"/>
  <c r="C33" i="82"/>
  <c r="P33" i="82"/>
  <c r="F35" i="82"/>
  <c r="B35" i="82" s="1"/>
  <c r="I35" i="82"/>
  <c r="Q27" i="2"/>
  <c r="O36" i="82" s="1"/>
  <c r="O28" i="2"/>
  <c r="H36" i="82"/>
  <c r="P27" i="2"/>
  <c r="AI27" i="2"/>
  <c r="O36" i="90" s="1"/>
  <c r="H36" i="90"/>
  <c r="AH27" i="2"/>
  <c r="AG28" i="2"/>
  <c r="P33" i="80"/>
  <c r="C33" i="80"/>
  <c r="F35" i="90"/>
  <c r="B35" i="90" s="1"/>
  <c r="I35" i="90"/>
  <c r="D35" i="90"/>
  <c r="AK27" i="2"/>
  <c r="H36" i="86"/>
  <c r="AJ28" i="2"/>
  <c r="AL27" i="2"/>
  <c r="O36" i="86" s="1"/>
  <c r="I35" i="80"/>
  <c r="F35" i="80"/>
  <c r="B35" i="80" s="1"/>
  <c r="C33" i="84"/>
  <c r="D34" i="83"/>
  <c r="E34" i="83" s="1"/>
  <c r="C34" i="83" s="1"/>
  <c r="D34" i="89"/>
  <c r="E34" i="89" s="1"/>
  <c r="P33" i="88"/>
  <c r="D34" i="91"/>
  <c r="E34" i="91" s="1"/>
  <c r="C34" i="91" s="1"/>
  <c r="D34" i="84"/>
  <c r="E34" i="84" s="1"/>
  <c r="C34" i="84" s="1"/>
  <c r="D34" i="87"/>
  <c r="E34" i="87" s="1"/>
  <c r="P34" i="87" s="1"/>
  <c r="C33" i="83"/>
  <c r="P33" i="83"/>
  <c r="C33" i="85"/>
  <c r="P33" i="85"/>
  <c r="C33" i="87"/>
  <c r="P33" i="87"/>
  <c r="F35" i="85"/>
  <c r="B35" i="85" s="1"/>
  <c r="I35" i="85"/>
  <c r="E42" i="93"/>
  <c r="D43" i="93"/>
  <c r="F42" i="93"/>
  <c r="B42" i="93" s="1"/>
  <c r="H36" i="83"/>
  <c r="V27" i="2"/>
  <c r="U28" i="2"/>
  <c r="W27" i="2"/>
  <c r="O36" i="83" s="1"/>
  <c r="M27" i="2"/>
  <c r="H36" i="87"/>
  <c r="N27" i="2"/>
  <c r="O36" i="87" s="1"/>
  <c r="L28" i="2"/>
  <c r="S27" i="2"/>
  <c r="H36" i="88"/>
  <c r="R28" i="2"/>
  <c r="T27" i="2"/>
  <c r="O36" i="88" s="1"/>
  <c r="C33" i="81"/>
  <c r="P33" i="81"/>
  <c r="M41" i="93"/>
  <c r="I35" i="87"/>
  <c r="F35" i="87"/>
  <c r="B35" i="87" s="1"/>
  <c r="X28" i="2"/>
  <c r="H36" i="84"/>
  <c r="Y27" i="2"/>
  <c r="Z27" i="2"/>
  <c r="O36" i="84" s="1"/>
  <c r="N41" i="93"/>
  <c r="O41" i="93" s="1"/>
  <c r="I35" i="89"/>
  <c r="F35" i="89"/>
  <c r="B35" i="89" s="1"/>
  <c r="D34" i="85"/>
  <c r="E34" i="85" s="1"/>
  <c r="I35" i="88"/>
  <c r="F35" i="88"/>
  <c r="B35" i="88" s="1"/>
  <c r="P33" i="89"/>
  <c r="C33" i="89"/>
  <c r="F35" i="81"/>
  <c r="B35" i="81" s="1"/>
  <c r="I35" i="81"/>
  <c r="I35" i="83"/>
  <c r="F35" i="83"/>
  <c r="B35" i="83" s="1"/>
  <c r="F35" i="84"/>
  <c r="B35" i="84" s="1"/>
  <c r="I35" i="84"/>
  <c r="G27" i="2"/>
  <c r="F28" i="2"/>
  <c r="H27" i="2"/>
  <c r="O36" i="91" s="1"/>
  <c r="H36" i="91"/>
  <c r="D34" i="88"/>
  <c r="E34" i="88" s="1"/>
  <c r="D34" i="81"/>
  <c r="E34" i="81" s="1"/>
  <c r="H36" i="81"/>
  <c r="D27" i="2"/>
  <c r="C28" i="2"/>
  <c r="E27" i="2"/>
  <c r="O36" i="81" s="1"/>
  <c r="F35" i="91"/>
  <c r="B35" i="91" s="1"/>
  <c r="I35" i="91"/>
  <c r="AD28" i="2"/>
  <c r="H36" i="85"/>
  <c r="AF27" i="2"/>
  <c r="O36" i="85" s="1"/>
  <c r="AE27" i="2"/>
  <c r="C33" i="91"/>
  <c r="P33" i="91"/>
  <c r="H36" i="89"/>
  <c r="AC27" i="2"/>
  <c r="O36" i="89" s="1"/>
  <c r="AA28" i="2"/>
  <c r="AB27" i="2"/>
  <c r="D35" i="80" l="1"/>
  <c r="E35" i="80" s="1"/>
  <c r="D35" i="82"/>
  <c r="E35" i="82" s="1"/>
  <c r="P34" i="80"/>
  <c r="P34" i="82"/>
  <c r="P34" i="86"/>
  <c r="P34" i="91"/>
  <c r="E35" i="86"/>
  <c r="C35" i="86" s="1"/>
  <c r="I36" i="90"/>
  <c r="F36" i="90"/>
  <c r="B36" i="90" s="1"/>
  <c r="D36" i="90"/>
  <c r="E35" i="90"/>
  <c r="C34" i="90"/>
  <c r="P34" i="90"/>
  <c r="I36" i="80"/>
  <c r="F36" i="80"/>
  <c r="B36" i="80" s="1"/>
  <c r="D36" i="80"/>
  <c r="H37" i="80"/>
  <c r="I29" i="2"/>
  <c r="K28" i="2"/>
  <c r="O37" i="80" s="1"/>
  <c r="J28" i="2"/>
  <c r="H37" i="86"/>
  <c r="AL28" i="2"/>
  <c r="O37" i="86" s="1"/>
  <c r="AK28" i="2"/>
  <c r="AJ29" i="2"/>
  <c r="I36" i="82"/>
  <c r="F36" i="82"/>
  <c r="B36" i="82" s="1"/>
  <c r="D36" i="86"/>
  <c r="F36" i="86"/>
  <c r="B36" i="86" s="1"/>
  <c r="I36" i="86"/>
  <c r="P28" i="2"/>
  <c r="H37" i="82"/>
  <c r="Q28" i="2"/>
  <c r="O37" i="82" s="1"/>
  <c r="O29" i="2"/>
  <c r="AG29" i="2"/>
  <c r="AH28" i="2"/>
  <c r="H37" i="90"/>
  <c r="AI28" i="2"/>
  <c r="O37" i="90" s="1"/>
  <c r="P34" i="84"/>
  <c r="P34" i="83"/>
  <c r="C34" i="87"/>
  <c r="D35" i="85"/>
  <c r="E35" i="85" s="1"/>
  <c r="D35" i="84"/>
  <c r="E35" i="84" s="1"/>
  <c r="P34" i="81"/>
  <c r="C34" i="81"/>
  <c r="D35" i="81"/>
  <c r="E35" i="81" s="1"/>
  <c r="L29" i="2"/>
  <c r="H37" i="87"/>
  <c r="N28" i="2"/>
  <c r="O37" i="87" s="1"/>
  <c r="M28" i="2"/>
  <c r="F43" i="93"/>
  <c r="B43" i="93" s="1"/>
  <c r="M43" i="93"/>
  <c r="N43" i="93" s="1"/>
  <c r="O43" i="93" s="1"/>
  <c r="E43" i="93"/>
  <c r="D44" i="93"/>
  <c r="I36" i="85"/>
  <c r="F36" i="85"/>
  <c r="B36" i="85" s="1"/>
  <c r="D35" i="89"/>
  <c r="E35" i="89" s="1"/>
  <c r="F36" i="84"/>
  <c r="B36" i="84" s="1"/>
  <c r="I36" i="84"/>
  <c r="M42" i="93"/>
  <c r="Z28" i="2"/>
  <c r="O37" i="84" s="1"/>
  <c r="X29" i="2"/>
  <c r="H37" i="84"/>
  <c r="Y28" i="2"/>
  <c r="F36" i="87"/>
  <c r="B36" i="87" s="1"/>
  <c r="I36" i="87"/>
  <c r="P34" i="88"/>
  <c r="C34" i="88"/>
  <c r="AD29" i="2"/>
  <c r="H37" i="85"/>
  <c r="AF28" i="2"/>
  <c r="O37" i="85" s="1"/>
  <c r="AE28" i="2"/>
  <c r="E28" i="2"/>
  <c r="O37" i="81" s="1"/>
  <c r="D28" i="2"/>
  <c r="C29" i="2"/>
  <c r="H37" i="81"/>
  <c r="AA29" i="2"/>
  <c r="AC28" i="2"/>
  <c r="O37" i="89" s="1"/>
  <c r="AB28" i="2"/>
  <c r="H37" i="89"/>
  <c r="I36" i="91"/>
  <c r="F36" i="91"/>
  <c r="B36" i="91" s="1"/>
  <c r="D35" i="91"/>
  <c r="E35" i="91" s="1"/>
  <c r="F36" i="81"/>
  <c r="B36" i="81" s="1"/>
  <c r="I36" i="81"/>
  <c r="D35" i="83"/>
  <c r="E35" i="83" s="1"/>
  <c r="D35" i="88"/>
  <c r="E35" i="88" s="1"/>
  <c r="F36" i="89"/>
  <c r="B36" i="89" s="1"/>
  <c r="I36" i="89"/>
  <c r="H28" i="2"/>
  <c r="O37" i="91" s="1"/>
  <c r="G28" i="2"/>
  <c r="H37" i="91"/>
  <c r="F29" i="2"/>
  <c r="S28" i="2"/>
  <c r="R29" i="2"/>
  <c r="H37" i="88"/>
  <c r="T28" i="2"/>
  <c r="O37" i="88" s="1"/>
  <c r="U29" i="2"/>
  <c r="V28" i="2"/>
  <c r="W28" i="2"/>
  <c r="O37" i="83" s="1"/>
  <c r="H37" i="83"/>
  <c r="D35" i="87"/>
  <c r="E35" i="87" s="1"/>
  <c r="F36" i="88"/>
  <c r="B36" i="88" s="1"/>
  <c r="I36" i="88"/>
  <c r="N42" i="93"/>
  <c r="O42" i="93" s="1"/>
  <c r="C34" i="89"/>
  <c r="P34" i="89"/>
  <c r="C34" i="85"/>
  <c r="P34" i="85"/>
  <c r="F36" i="83"/>
  <c r="I36" i="83"/>
  <c r="D36" i="82" l="1"/>
  <c r="E36" i="82" s="1"/>
  <c r="P36" i="82" s="1"/>
  <c r="E36" i="90"/>
  <c r="P36" i="90" s="1"/>
  <c r="P35" i="86"/>
  <c r="E36" i="86"/>
  <c r="C36" i="86" s="1"/>
  <c r="E36" i="80"/>
  <c r="P36" i="80" s="1"/>
  <c r="O30" i="2"/>
  <c r="P29" i="2"/>
  <c r="H38" i="82"/>
  <c r="Q29" i="2"/>
  <c r="O38" i="82" s="1"/>
  <c r="I37" i="86"/>
  <c r="D37" i="86"/>
  <c r="F37" i="86"/>
  <c r="B37" i="86" s="1"/>
  <c r="I37" i="82"/>
  <c r="F37" i="82"/>
  <c r="B37" i="82" s="1"/>
  <c r="D37" i="82"/>
  <c r="P35" i="82"/>
  <c r="C35" i="82"/>
  <c r="P35" i="90"/>
  <c r="C35" i="90"/>
  <c r="K29" i="2"/>
  <c r="O38" i="80" s="1"/>
  <c r="H38" i="80"/>
  <c r="J29" i="2"/>
  <c r="I30" i="2"/>
  <c r="I37" i="90"/>
  <c r="F37" i="90"/>
  <c r="B37" i="90" s="1"/>
  <c r="D37" i="90"/>
  <c r="I37" i="80"/>
  <c r="F37" i="80"/>
  <c r="B37" i="80" s="1"/>
  <c r="AL29" i="2"/>
  <c r="O38" i="86" s="1"/>
  <c r="AK29" i="2"/>
  <c r="AJ30" i="2"/>
  <c r="H38" i="86"/>
  <c r="AG30" i="2"/>
  <c r="AI29" i="2"/>
  <c r="O38" i="90" s="1"/>
  <c r="AH29" i="2"/>
  <c r="H38" i="90"/>
  <c r="C35" i="80"/>
  <c r="P35" i="80"/>
  <c r="D36" i="87"/>
  <c r="E36" i="87" s="1"/>
  <c r="D36" i="84"/>
  <c r="E36" i="84" s="1"/>
  <c r="C36" i="84" s="1"/>
  <c r="D36" i="91"/>
  <c r="E36" i="91" s="1"/>
  <c r="P35" i="89"/>
  <c r="C35" i="89"/>
  <c r="C35" i="81"/>
  <c r="P35" i="81"/>
  <c r="C35" i="88"/>
  <c r="P35" i="88"/>
  <c r="C35" i="91"/>
  <c r="P35" i="91"/>
  <c r="B36" i="83"/>
  <c r="D36" i="89"/>
  <c r="E36" i="89" s="1"/>
  <c r="C35" i="85"/>
  <c r="P35" i="85"/>
  <c r="D36" i="83"/>
  <c r="E36" i="83" s="1"/>
  <c r="D36" i="88"/>
  <c r="E36" i="88" s="1"/>
  <c r="F37" i="83"/>
  <c r="B37" i="83" s="1"/>
  <c r="I37" i="83"/>
  <c r="H38" i="91"/>
  <c r="G29" i="2"/>
  <c r="F30" i="2"/>
  <c r="H29" i="2"/>
  <c r="O38" i="91" s="1"/>
  <c r="I37" i="85"/>
  <c r="F37" i="85"/>
  <c r="B37" i="85" s="1"/>
  <c r="AF29" i="2"/>
  <c r="O38" i="85" s="1"/>
  <c r="H38" i="85"/>
  <c r="AE29" i="2"/>
  <c r="AD30" i="2"/>
  <c r="F37" i="81"/>
  <c r="B37" i="81" s="1"/>
  <c r="I37" i="81"/>
  <c r="D36" i="85"/>
  <c r="E36" i="85" s="1"/>
  <c r="F37" i="87"/>
  <c r="B37" i="87" s="1"/>
  <c r="I37" i="87"/>
  <c r="C35" i="87"/>
  <c r="P35" i="87"/>
  <c r="H38" i="83"/>
  <c r="W29" i="2"/>
  <c r="O38" i="83" s="1"/>
  <c r="U30" i="2"/>
  <c r="V29" i="2"/>
  <c r="P35" i="83"/>
  <c r="C35" i="83"/>
  <c r="H38" i="81"/>
  <c r="D29" i="2"/>
  <c r="C30" i="2"/>
  <c r="E29" i="2"/>
  <c r="O38" i="81" s="1"/>
  <c r="H38" i="87"/>
  <c r="N29" i="2"/>
  <c r="O38" i="87" s="1"/>
  <c r="M29" i="2"/>
  <c r="L30" i="2"/>
  <c r="D36" i="81"/>
  <c r="E36" i="81" s="1"/>
  <c r="F37" i="84"/>
  <c r="B37" i="84" s="1"/>
  <c r="I37" i="84"/>
  <c r="F44" i="93"/>
  <c r="E44" i="93"/>
  <c r="F37" i="88"/>
  <c r="B37" i="88" s="1"/>
  <c r="I37" i="88"/>
  <c r="Z29" i="2"/>
  <c r="O38" i="84" s="1"/>
  <c r="Y29" i="2"/>
  <c r="H38" i="84"/>
  <c r="X30" i="2"/>
  <c r="P35" i="84"/>
  <c r="C35" i="84"/>
  <c r="I37" i="91"/>
  <c r="F37" i="91"/>
  <c r="B37" i="91" s="1"/>
  <c r="H38" i="89"/>
  <c r="AA30" i="2"/>
  <c r="AB29" i="2"/>
  <c r="AC29" i="2"/>
  <c r="O38" i="89" s="1"/>
  <c r="R30" i="2"/>
  <c r="S29" i="2"/>
  <c r="T29" i="2"/>
  <c r="O38" i="88" s="1"/>
  <c r="H38" i="88"/>
  <c r="F37" i="89"/>
  <c r="B37" i="89" s="1"/>
  <c r="I37" i="89"/>
  <c r="D37" i="80" l="1"/>
  <c r="E37" i="80" s="1"/>
  <c r="C36" i="82"/>
  <c r="C36" i="80"/>
  <c r="C36" i="90"/>
  <c r="P36" i="86"/>
  <c r="P36" i="84"/>
  <c r="E37" i="90"/>
  <c r="P37" i="90" s="1"/>
  <c r="E37" i="86"/>
  <c r="J30" i="2"/>
  <c r="H39" i="80"/>
  <c r="K30" i="2"/>
  <c r="O39" i="80" s="1"/>
  <c r="I31" i="2"/>
  <c r="H39" i="90"/>
  <c r="AH30" i="2"/>
  <c r="AG31" i="2"/>
  <c r="AI30" i="2"/>
  <c r="O39" i="90" s="1"/>
  <c r="I38" i="80"/>
  <c r="F38" i="80"/>
  <c r="B38" i="80" s="1"/>
  <c r="D38" i="86"/>
  <c r="I38" i="86"/>
  <c r="F38" i="86"/>
  <c r="B38" i="86" s="1"/>
  <c r="E37" i="82"/>
  <c r="F38" i="82"/>
  <c r="B38" i="82" s="1"/>
  <c r="I38" i="82"/>
  <c r="H39" i="86"/>
  <c r="AL30" i="2"/>
  <c r="O39" i="86" s="1"/>
  <c r="AJ31" i="2"/>
  <c r="AK30" i="2"/>
  <c r="I38" i="90"/>
  <c r="F38" i="90"/>
  <c r="B38" i="90" s="1"/>
  <c r="D38" i="90"/>
  <c r="P30" i="2"/>
  <c r="Q30" i="2"/>
  <c r="O39" i="82" s="1"/>
  <c r="O31" i="2"/>
  <c r="H39" i="82"/>
  <c r="P36" i="91"/>
  <c r="C36" i="91"/>
  <c r="D37" i="89"/>
  <c r="E37" i="89" s="1"/>
  <c r="C37" i="89" s="1"/>
  <c r="P36" i="83"/>
  <c r="C36" i="83"/>
  <c r="S30" i="2"/>
  <c r="T30" i="2"/>
  <c r="O39" i="88" s="1"/>
  <c r="R31" i="2"/>
  <c r="H39" i="88"/>
  <c r="F38" i="84"/>
  <c r="D38" i="84" s="1"/>
  <c r="I38" i="84"/>
  <c r="M44" i="93"/>
  <c r="I51" i="93" s="1"/>
  <c r="L31" i="2"/>
  <c r="N30" i="2"/>
  <c r="O39" i="87" s="1"/>
  <c r="M30" i="2"/>
  <c r="H39" i="87"/>
  <c r="AF30" i="2"/>
  <c r="O39" i="85" s="1"/>
  <c r="H39" i="85"/>
  <c r="AD31" i="2"/>
  <c r="AE30" i="2"/>
  <c r="D37" i="85"/>
  <c r="E37" i="85" s="1"/>
  <c r="I38" i="91"/>
  <c r="F38" i="91"/>
  <c r="B38" i="91" s="1"/>
  <c r="F38" i="85"/>
  <c r="B38" i="85" s="1"/>
  <c r="I38" i="85"/>
  <c r="P36" i="87"/>
  <c r="C36" i="87"/>
  <c r="D37" i="88"/>
  <c r="E37" i="88" s="1"/>
  <c r="F38" i="87"/>
  <c r="D38" i="87" s="1"/>
  <c r="I38" i="87"/>
  <c r="D37" i="83"/>
  <c r="E37" i="83" s="1"/>
  <c r="AB30" i="2"/>
  <c r="AC30" i="2"/>
  <c r="O39" i="89" s="1"/>
  <c r="H39" i="89"/>
  <c r="AA31" i="2"/>
  <c r="D37" i="84"/>
  <c r="E37" i="84" s="1"/>
  <c r="P36" i="85"/>
  <c r="C36" i="85"/>
  <c r="D37" i="87"/>
  <c r="E37" i="87" s="1"/>
  <c r="I38" i="81"/>
  <c r="F38" i="81"/>
  <c r="B38" i="81" s="1"/>
  <c r="I38" i="88"/>
  <c r="F38" i="88"/>
  <c r="B38" i="88" s="1"/>
  <c r="F38" i="89"/>
  <c r="B38" i="89" s="1"/>
  <c r="I38" i="89"/>
  <c r="U31" i="2"/>
  <c r="W30" i="2"/>
  <c r="O39" i="83" s="1"/>
  <c r="V30" i="2"/>
  <c r="H39" i="83"/>
  <c r="D37" i="91"/>
  <c r="E37" i="91" s="1"/>
  <c r="C36" i="81"/>
  <c r="P36" i="81"/>
  <c r="D37" i="81"/>
  <c r="E37" i="81" s="1"/>
  <c r="H30" i="2"/>
  <c r="O39" i="91" s="1"/>
  <c r="G30" i="2"/>
  <c r="H39" i="91"/>
  <c r="F31" i="2"/>
  <c r="P36" i="88"/>
  <c r="C36" i="88"/>
  <c r="H39" i="84"/>
  <c r="Y30" i="2"/>
  <c r="Z30" i="2"/>
  <c r="O39" i="84" s="1"/>
  <c r="X31" i="2"/>
  <c r="B44" i="93"/>
  <c r="B6" i="93" s="1"/>
  <c r="O47" i="93"/>
  <c r="C36" i="89"/>
  <c r="P36" i="89"/>
  <c r="H39" i="81"/>
  <c r="D30" i="2"/>
  <c r="E30" i="2"/>
  <c r="O39" i="81" s="1"/>
  <c r="C31" i="2"/>
  <c r="I38" i="83"/>
  <c r="F38" i="83"/>
  <c r="B38" i="83" s="1"/>
  <c r="D38" i="82" l="1"/>
  <c r="E38" i="82" s="1"/>
  <c r="D38" i="80"/>
  <c r="E38" i="80" s="1"/>
  <c r="P38" i="80" s="1"/>
  <c r="C37" i="90"/>
  <c r="E38" i="86"/>
  <c r="P38" i="86" s="1"/>
  <c r="E38" i="90"/>
  <c r="I39" i="90"/>
  <c r="F39" i="90"/>
  <c r="B39" i="90" s="1"/>
  <c r="D39" i="90"/>
  <c r="J31" i="2"/>
  <c r="I32" i="2"/>
  <c r="K31" i="2"/>
  <c r="O40" i="80" s="1"/>
  <c r="H40" i="80"/>
  <c r="C37" i="82"/>
  <c r="P37" i="82"/>
  <c r="I39" i="80"/>
  <c r="F39" i="80"/>
  <c r="B39" i="80" s="1"/>
  <c r="I39" i="82"/>
  <c r="F39" i="82"/>
  <c r="B39" i="82" s="1"/>
  <c r="AK31" i="2"/>
  <c r="AL31" i="2"/>
  <c r="O40" i="86" s="1"/>
  <c r="AJ32" i="2"/>
  <c r="H40" i="86"/>
  <c r="Q31" i="2"/>
  <c r="O40" i="82" s="1"/>
  <c r="P31" i="2"/>
  <c r="O32" i="2"/>
  <c r="H40" i="82"/>
  <c r="C37" i="80"/>
  <c r="P37" i="80"/>
  <c r="D39" i="86"/>
  <c r="I39" i="86"/>
  <c r="F39" i="86"/>
  <c r="B39" i="86" s="1"/>
  <c r="H40" i="90"/>
  <c r="AH31" i="2"/>
  <c r="AI31" i="2"/>
  <c r="O40" i="90" s="1"/>
  <c r="AG32" i="2"/>
  <c r="C37" i="86"/>
  <c r="P37" i="86"/>
  <c r="P37" i="89"/>
  <c r="D38" i="85"/>
  <c r="E38" i="85" s="1"/>
  <c r="P37" i="85"/>
  <c r="C37" i="85"/>
  <c r="P37" i="91"/>
  <c r="C37" i="91"/>
  <c r="C37" i="84"/>
  <c r="P37" i="84"/>
  <c r="F39" i="87"/>
  <c r="B39" i="87" s="1"/>
  <c r="I39" i="87"/>
  <c r="F39" i="81"/>
  <c r="B39" i="81" s="1"/>
  <c r="I39" i="81"/>
  <c r="I39" i="84"/>
  <c r="F39" i="84"/>
  <c r="B39" i="84" s="1"/>
  <c r="I39" i="83"/>
  <c r="F39" i="83"/>
  <c r="B39" i="83" s="1"/>
  <c r="D38" i="81"/>
  <c r="E38" i="81" s="1"/>
  <c r="P37" i="83"/>
  <c r="C37" i="83"/>
  <c r="AD32" i="2"/>
  <c r="AE31" i="2"/>
  <c r="AF31" i="2"/>
  <c r="O40" i="85" s="1"/>
  <c r="H40" i="85"/>
  <c r="E38" i="84"/>
  <c r="B38" i="84"/>
  <c r="I39" i="91"/>
  <c r="F39" i="91"/>
  <c r="B39" i="91" s="1"/>
  <c r="D38" i="83"/>
  <c r="E38" i="83" s="1"/>
  <c r="D38" i="89"/>
  <c r="E38" i="89" s="1"/>
  <c r="I39" i="85"/>
  <c r="F39" i="85"/>
  <c r="B39" i="85" s="1"/>
  <c r="F39" i="88"/>
  <c r="B39" i="88" s="1"/>
  <c r="I39" i="88"/>
  <c r="P37" i="81"/>
  <c r="C37" i="81"/>
  <c r="N31" i="2"/>
  <c r="O40" i="87" s="1"/>
  <c r="M31" i="2"/>
  <c r="H40" i="87"/>
  <c r="L32" i="2"/>
  <c r="H40" i="88"/>
  <c r="S31" i="2"/>
  <c r="R32" i="2"/>
  <c r="T31" i="2"/>
  <c r="O40" i="88" s="1"/>
  <c r="C37" i="87"/>
  <c r="P37" i="87"/>
  <c r="H40" i="83"/>
  <c r="V31" i="2"/>
  <c r="U32" i="2"/>
  <c r="W31" i="2"/>
  <c r="O40" i="83" s="1"/>
  <c r="P47" i="86"/>
  <c r="E25" i="15" s="1"/>
  <c r="E38" i="87"/>
  <c r="B38" i="87"/>
  <c r="L51" i="93"/>
  <c r="H51" i="93"/>
  <c r="N44" i="93"/>
  <c r="O44" i="93" s="1"/>
  <c r="O46" i="93" s="1"/>
  <c r="O50" i="93" s="1"/>
  <c r="AB31" i="2"/>
  <c r="AA32" i="2"/>
  <c r="AC31" i="2"/>
  <c r="O40" i="89" s="1"/>
  <c r="H40" i="89"/>
  <c r="P37" i="88"/>
  <c r="C37" i="88"/>
  <c r="D38" i="91"/>
  <c r="E38" i="91" s="1"/>
  <c r="C32" i="2"/>
  <c r="E31" i="2"/>
  <c r="O40" i="81" s="1"/>
  <c r="D31" i="2"/>
  <c r="H40" i="81"/>
  <c r="H40" i="84"/>
  <c r="Y31" i="2"/>
  <c r="Z31" i="2"/>
  <c r="O40" i="84" s="1"/>
  <c r="X32" i="2"/>
  <c r="H40" i="91"/>
  <c r="F32" i="2"/>
  <c r="F33" i="2" s="1"/>
  <c r="G31" i="2"/>
  <c r="H31" i="2"/>
  <c r="O40" i="91" s="1"/>
  <c r="D38" i="88"/>
  <c r="E38" i="88" s="1"/>
  <c r="I39" i="89"/>
  <c r="F39" i="89"/>
  <c r="B39" i="89" s="1"/>
  <c r="H42" i="91" l="1"/>
  <c r="G33" i="2"/>
  <c r="D39" i="82"/>
  <c r="E39" i="82" s="1"/>
  <c r="P39" i="82" s="1"/>
  <c r="D39" i="80"/>
  <c r="E39" i="80" s="1"/>
  <c r="C39" i="80" s="1"/>
  <c r="C38" i="86"/>
  <c r="C38" i="80"/>
  <c r="E8" i="80" s="1"/>
  <c r="P13" i="80" s="1"/>
  <c r="E39" i="86"/>
  <c r="C39" i="86" s="1"/>
  <c r="E39" i="90"/>
  <c r="P39" i="90" s="1"/>
  <c r="AH32" i="2"/>
  <c r="H41" i="90"/>
  <c r="AI32" i="2"/>
  <c r="O41" i="90" s="1"/>
  <c r="AG33" i="2"/>
  <c r="D40" i="86"/>
  <c r="F40" i="86"/>
  <c r="B40" i="86" s="1"/>
  <c r="I40" i="86"/>
  <c r="H41" i="80"/>
  <c r="K32" i="2"/>
  <c r="O41" i="80" s="1"/>
  <c r="I33" i="2"/>
  <c r="J32" i="2"/>
  <c r="AL32" i="2"/>
  <c r="O41" i="86" s="1"/>
  <c r="H41" i="86"/>
  <c r="AJ33" i="2"/>
  <c r="AK32" i="2"/>
  <c r="I40" i="82"/>
  <c r="F40" i="82"/>
  <c r="B40" i="82" s="1"/>
  <c r="I40" i="90"/>
  <c r="F40" i="90"/>
  <c r="B40" i="90" s="1"/>
  <c r="D40" i="90"/>
  <c r="P32" i="2"/>
  <c r="H41" i="82"/>
  <c r="Q32" i="2"/>
  <c r="O41" i="82" s="1"/>
  <c r="O33" i="2"/>
  <c r="C38" i="90"/>
  <c r="P38" i="90"/>
  <c r="F40" i="80"/>
  <c r="B40" i="80" s="1"/>
  <c r="I40" i="80"/>
  <c r="C38" i="82"/>
  <c r="E8" i="82" s="1"/>
  <c r="P13" i="82" s="1"/>
  <c r="P38" i="82"/>
  <c r="D39" i="81"/>
  <c r="E39" i="81" s="1"/>
  <c r="C39" i="81" s="1"/>
  <c r="D39" i="88"/>
  <c r="E39" i="88" s="1"/>
  <c r="C39" i="88" s="1"/>
  <c r="D39" i="87"/>
  <c r="E39" i="87" s="1"/>
  <c r="P39" i="87" s="1"/>
  <c r="P38" i="91"/>
  <c r="C38" i="91"/>
  <c r="C38" i="89"/>
  <c r="E8" i="89" s="1"/>
  <c r="P13" i="89" s="1"/>
  <c r="P38" i="89"/>
  <c r="C38" i="88"/>
  <c r="E8" i="88" s="1"/>
  <c r="P13" i="88" s="1"/>
  <c r="P38" i="88"/>
  <c r="H41" i="83"/>
  <c r="V32" i="2"/>
  <c r="W32" i="2"/>
  <c r="O41" i="83" s="1"/>
  <c r="U33" i="2"/>
  <c r="I40" i="88"/>
  <c r="F40" i="88"/>
  <c r="B40" i="88" s="1"/>
  <c r="AF32" i="2"/>
  <c r="O41" i="85" s="1"/>
  <c r="AE32" i="2"/>
  <c r="AD33" i="2"/>
  <c r="H41" i="85"/>
  <c r="F40" i="84"/>
  <c r="B40" i="84" s="1"/>
  <c r="I40" i="84"/>
  <c r="AA33" i="2"/>
  <c r="H41" i="89"/>
  <c r="AC32" i="2"/>
  <c r="O41" i="89" s="1"/>
  <c r="AB32" i="2"/>
  <c r="M32" i="2"/>
  <c r="H41" i="87"/>
  <c r="N32" i="2"/>
  <c r="O41" i="87" s="1"/>
  <c r="L33" i="2"/>
  <c r="D39" i="85"/>
  <c r="E39" i="85" s="1"/>
  <c r="D39" i="91"/>
  <c r="E39" i="91" s="1"/>
  <c r="F40" i="81"/>
  <c r="B40" i="81" s="1"/>
  <c r="I40" i="81"/>
  <c r="F40" i="83"/>
  <c r="B40" i="83" s="1"/>
  <c r="I40" i="83"/>
  <c r="F40" i="87"/>
  <c r="B40" i="87" s="1"/>
  <c r="D40" i="87"/>
  <c r="I40" i="87"/>
  <c r="P38" i="87"/>
  <c r="C38" i="87"/>
  <c r="E8" i="87" s="1"/>
  <c r="P13" i="87" s="1"/>
  <c r="C38" i="81"/>
  <c r="P38" i="81"/>
  <c r="D39" i="84"/>
  <c r="E39" i="84" s="1"/>
  <c r="G32" i="2"/>
  <c r="G36" i="2" s="1"/>
  <c r="H15" i="15" s="1"/>
  <c r="H41" i="91"/>
  <c r="H32" i="2"/>
  <c r="O41" i="91" s="1"/>
  <c r="P38" i="85"/>
  <c r="C38" i="85"/>
  <c r="E8" i="85" s="1"/>
  <c r="P13" i="85" s="1"/>
  <c r="P38" i="84"/>
  <c r="C38" i="84"/>
  <c r="E8" i="84" s="1"/>
  <c r="P13" i="84" s="1"/>
  <c r="D39" i="89"/>
  <c r="E39" i="89" s="1"/>
  <c r="I40" i="91"/>
  <c r="F40" i="91"/>
  <c r="B40" i="91" s="1"/>
  <c r="D32" i="2"/>
  <c r="E32" i="2"/>
  <c r="O41" i="81" s="1"/>
  <c r="H41" i="81"/>
  <c r="C33" i="2"/>
  <c r="I40" i="85"/>
  <c r="F40" i="85"/>
  <c r="P38" i="83"/>
  <c r="C38" i="83"/>
  <c r="E8" i="83" s="1"/>
  <c r="P13" i="83" s="1"/>
  <c r="H41" i="88"/>
  <c r="S32" i="2"/>
  <c r="T32" i="2"/>
  <c r="O41" i="88" s="1"/>
  <c r="R33" i="2"/>
  <c r="Y32" i="2"/>
  <c r="Z32" i="2"/>
  <c r="O41" i="84" s="1"/>
  <c r="X33" i="2"/>
  <c r="H41" i="84"/>
  <c r="I40" i="89"/>
  <c r="F40" i="89"/>
  <c r="B40" i="89" s="1"/>
  <c r="D39" i="83"/>
  <c r="E39" i="83" s="1"/>
  <c r="F42" i="91" l="1"/>
  <c r="B42" i="91" s="1"/>
  <c r="I42" i="91"/>
  <c r="D42" i="91"/>
  <c r="D40" i="82"/>
  <c r="E40" i="82" s="1"/>
  <c r="C40" i="82" s="1"/>
  <c r="D40" i="80"/>
  <c r="E40" i="80" s="1"/>
  <c r="D40" i="83"/>
  <c r="E40" i="83" s="1"/>
  <c r="P39" i="86"/>
  <c r="E40" i="87"/>
  <c r="C40" i="87" s="1"/>
  <c r="P39" i="80"/>
  <c r="C39" i="90"/>
  <c r="C39" i="82"/>
  <c r="P39" i="81"/>
  <c r="C39" i="87"/>
  <c r="E40" i="90"/>
  <c r="C40" i="90" s="1"/>
  <c r="F41" i="86"/>
  <c r="B41" i="86" s="1"/>
  <c r="D41" i="86"/>
  <c r="I41" i="86"/>
  <c r="Q33" i="2"/>
  <c r="O42" i="82" s="1"/>
  <c r="H42" i="82"/>
  <c r="O34" i="2"/>
  <c r="P33" i="2"/>
  <c r="H42" i="90"/>
  <c r="AH33" i="2"/>
  <c r="AI33" i="2"/>
  <c r="O42" i="90" s="1"/>
  <c r="AG34" i="2"/>
  <c r="J33" i="2"/>
  <c r="H42" i="80"/>
  <c r="I34" i="2"/>
  <c r="K33" i="2"/>
  <c r="O42" i="80" s="1"/>
  <c r="I41" i="82"/>
  <c r="F41" i="82"/>
  <c r="B41" i="82" s="1"/>
  <c r="I41" i="90"/>
  <c r="F41" i="90"/>
  <c r="B41" i="90" s="1"/>
  <c r="D41" i="90"/>
  <c r="I41" i="80"/>
  <c r="F41" i="80"/>
  <c r="B41" i="80" s="1"/>
  <c r="D41" i="80"/>
  <c r="E40" i="86"/>
  <c r="AK33" i="2"/>
  <c r="AL33" i="2"/>
  <c r="O42" i="86" s="1"/>
  <c r="H42" i="86"/>
  <c r="AJ34" i="2"/>
  <c r="D40" i="81"/>
  <c r="E40" i="81" s="1"/>
  <c r="P39" i="88"/>
  <c r="D40" i="84"/>
  <c r="E40" i="84" s="1"/>
  <c r="C39" i="85"/>
  <c r="P39" i="85"/>
  <c r="C39" i="91"/>
  <c r="P39" i="91"/>
  <c r="P39" i="83"/>
  <c r="C39" i="83"/>
  <c r="H42" i="88"/>
  <c r="S33" i="2"/>
  <c r="R34" i="2"/>
  <c r="T33" i="2"/>
  <c r="O42" i="88" s="1"/>
  <c r="F41" i="84"/>
  <c r="B41" i="84" s="1"/>
  <c r="I41" i="84"/>
  <c r="C39" i="89"/>
  <c r="P39" i="89"/>
  <c r="F41" i="88"/>
  <c r="B41" i="88" s="1"/>
  <c r="I41" i="88"/>
  <c r="D33" i="2"/>
  <c r="H42" i="81"/>
  <c r="C34" i="2"/>
  <c r="E33" i="2"/>
  <c r="O42" i="81" s="1"/>
  <c r="I41" i="91"/>
  <c r="F41" i="91"/>
  <c r="D41" i="91" s="1"/>
  <c r="E41" i="91" s="1"/>
  <c r="H42" i="85"/>
  <c r="AE33" i="2"/>
  <c r="AF33" i="2"/>
  <c r="O42" i="85" s="1"/>
  <c r="AD34" i="2"/>
  <c r="V33" i="2"/>
  <c r="W33" i="2"/>
  <c r="O42" i="83" s="1"/>
  <c r="H42" i="83"/>
  <c r="U34" i="2"/>
  <c r="H42" i="89"/>
  <c r="AA34" i="2"/>
  <c r="AC33" i="2"/>
  <c r="O42" i="89" s="1"/>
  <c r="AB33" i="2"/>
  <c r="F41" i="89"/>
  <c r="B41" i="89" s="1"/>
  <c r="I41" i="89"/>
  <c r="N33" i="2"/>
  <c r="O42" i="87" s="1"/>
  <c r="H42" i="87"/>
  <c r="L34" i="2"/>
  <c r="M33" i="2"/>
  <c r="F41" i="83"/>
  <c r="B41" i="83" s="1"/>
  <c r="I41" i="83"/>
  <c r="P39" i="84"/>
  <c r="C39" i="84"/>
  <c r="D40" i="88"/>
  <c r="E40" i="88" s="1"/>
  <c r="F41" i="87"/>
  <c r="B41" i="87" s="1"/>
  <c r="I41" i="87"/>
  <c r="I41" i="81"/>
  <c r="F41" i="81"/>
  <c r="B41" i="81" s="1"/>
  <c r="B40" i="85"/>
  <c r="D40" i="85"/>
  <c r="E40" i="85" s="1"/>
  <c r="D40" i="91"/>
  <c r="E40" i="91" s="1"/>
  <c r="D40" i="89"/>
  <c r="E40" i="89" s="1"/>
  <c r="Y33" i="2"/>
  <c r="X34" i="2"/>
  <c r="Z33" i="2"/>
  <c r="O42" i="84" s="1"/>
  <c r="H42" i="84"/>
  <c r="F41" i="85"/>
  <c r="B41" i="85" s="1"/>
  <c r="I41" i="85"/>
  <c r="E42" i="91" l="1"/>
  <c r="C42" i="91" s="1"/>
  <c r="D41" i="82"/>
  <c r="E41" i="82" s="1"/>
  <c r="C41" i="82" s="1"/>
  <c r="P40" i="87"/>
  <c r="P40" i="90"/>
  <c r="P40" i="82"/>
  <c r="E41" i="80"/>
  <c r="C41" i="80" s="1"/>
  <c r="E41" i="86"/>
  <c r="C41" i="86" s="1"/>
  <c r="P40" i="81"/>
  <c r="C40" i="81"/>
  <c r="C40" i="86"/>
  <c r="P40" i="86"/>
  <c r="F42" i="82"/>
  <c r="B42" i="82" s="1"/>
  <c r="I42" i="82"/>
  <c r="AH34" i="2"/>
  <c r="AH36" i="2" s="1"/>
  <c r="H24" i="15" s="1"/>
  <c r="H43" i="90"/>
  <c r="AI34" i="2"/>
  <c r="O43" i="90" s="1"/>
  <c r="C40" i="80"/>
  <c r="P40" i="80"/>
  <c r="AK34" i="2"/>
  <c r="H43" i="86"/>
  <c r="AJ35" i="2"/>
  <c r="AL34" i="2"/>
  <c r="O43" i="86" s="1"/>
  <c r="D42" i="86"/>
  <c r="I42" i="86"/>
  <c r="F42" i="86"/>
  <c r="B42" i="86" s="1"/>
  <c r="I35" i="2"/>
  <c r="J34" i="2"/>
  <c r="H43" i="80"/>
  <c r="K34" i="2"/>
  <c r="O43" i="80" s="1"/>
  <c r="I42" i="90"/>
  <c r="F42" i="90"/>
  <c r="E41" i="90"/>
  <c r="I42" i="80"/>
  <c r="F42" i="80"/>
  <c r="B42" i="80" s="1"/>
  <c r="H43" i="82"/>
  <c r="P34" i="2"/>
  <c r="O35" i="2"/>
  <c r="Q34" i="2"/>
  <c r="O43" i="82" s="1"/>
  <c r="D41" i="84"/>
  <c r="E41" i="84" s="1"/>
  <c r="P40" i="84"/>
  <c r="C40" i="84"/>
  <c r="D41" i="88"/>
  <c r="E41" i="88" s="1"/>
  <c r="P41" i="88" s="1"/>
  <c r="C40" i="88"/>
  <c r="P40" i="88"/>
  <c r="C40" i="85"/>
  <c r="P40" i="85"/>
  <c r="Y34" i="2"/>
  <c r="Z34" i="2"/>
  <c r="O43" i="84" s="1"/>
  <c r="H43" i="84"/>
  <c r="X35" i="2"/>
  <c r="D41" i="81"/>
  <c r="E41" i="81" s="1"/>
  <c r="N34" i="2"/>
  <c r="O43" i="87" s="1"/>
  <c r="M34" i="2"/>
  <c r="M36" i="2" s="1"/>
  <c r="H17" i="15" s="1"/>
  <c r="H43" i="87"/>
  <c r="F42" i="85"/>
  <c r="B42" i="85" s="1"/>
  <c r="I42" i="85"/>
  <c r="F42" i="81"/>
  <c r="B42" i="81" s="1"/>
  <c r="I42" i="81"/>
  <c r="I42" i="87"/>
  <c r="F42" i="87"/>
  <c r="W34" i="2"/>
  <c r="O43" i="83" s="1"/>
  <c r="H43" i="83"/>
  <c r="V34" i="2"/>
  <c r="U35" i="2"/>
  <c r="C40" i="83"/>
  <c r="P40" i="83"/>
  <c r="I42" i="83"/>
  <c r="F42" i="83"/>
  <c r="B42" i="83" s="1"/>
  <c r="P41" i="91"/>
  <c r="C41" i="91"/>
  <c r="C40" i="89"/>
  <c r="P40" i="89"/>
  <c r="L51" i="91"/>
  <c r="C40" i="91"/>
  <c r="P40" i="91"/>
  <c r="D41" i="83"/>
  <c r="E41" i="83" s="1"/>
  <c r="AC34" i="2"/>
  <c r="O43" i="89" s="1"/>
  <c r="H43" i="89"/>
  <c r="AB34" i="2"/>
  <c r="AB36" i="2" s="1"/>
  <c r="H22" i="15" s="1"/>
  <c r="B41" i="91"/>
  <c r="P47" i="91"/>
  <c r="E15" i="15" s="1"/>
  <c r="D41" i="87"/>
  <c r="E41" i="87" s="1"/>
  <c r="I42" i="89"/>
  <c r="F42" i="89"/>
  <c r="D42" i="89" s="1"/>
  <c r="H43" i="85"/>
  <c r="AF34" i="2"/>
  <c r="O43" i="85" s="1"/>
  <c r="AD35" i="2"/>
  <c r="AE34" i="2"/>
  <c r="S34" i="2"/>
  <c r="S36" i="2" s="1"/>
  <c r="H19" i="15" s="1"/>
  <c r="T34" i="2"/>
  <c r="O43" i="88" s="1"/>
  <c r="H43" i="88"/>
  <c r="I42" i="84"/>
  <c r="F42" i="84"/>
  <c r="D42" i="84" s="1"/>
  <c r="D41" i="85"/>
  <c r="E41" i="85" s="1"/>
  <c r="D41" i="89"/>
  <c r="E41" i="89" s="1"/>
  <c r="E34" i="2"/>
  <c r="O43" i="81" s="1"/>
  <c r="C35" i="2"/>
  <c r="D34" i="2"/>
  <c r="H43" i="81"/>
  <c r="F42" i="88"/>
  <c r="I42" i="88"/>
  <c r="P42" i="91" l="1"/>
  <c r="D42" i="80"/>
  <c r="E42" i="80" s="1"/>
  <c r="D42" i="82"/>
  <c r="E42" i="82" s="1"/>
  <c r="P42" i="82" s="1"/>
  <c r="P41" i="82"/>
  <c r="P41" i="86"/>
  <c r="P41" i="80"/>
  <c r="P35" i="2"/>
  <c r="P36" i="2" s="1"/>
  <c r="H18" i="15" s="1"/>
  <c r="H44" i="82"/>
  <c r="Q35" i="2"/>
  <c r="O44" i="82" s="1"/>
  <c r="D42" i="90"/>
  <c r="E42" i="90" s="1"/>
  <c r="B42" i="90"/>
  <c r="I43" i="82"/>
  <c r="F43" i="82"/>
  <c r="B43" i="82" s="1"/>
  <c r="F43" i="80"/>
  <c r="I43" i="80"/>
  <c r="K35" i="2"/>
  <c r="O44" i="80" s="1"/>
  <c r="J35" i="2"/>
  <c r="J36" i="2" s="1"/>
  <c r="H16" i="15" s="1"/>
  <c r="H44" i="80"/>
  <c r="AK35" i="2"/>
  <c r="AK36" i="2" s="1"/>
  <c r="H25" i="15" s="1"/>
  <c r="H44" i="86"/>
  <c r="AL35" i="2"/>
  <c r="O44" i="86" s="1"/>
  <c r="F43" i="90"/>
  <c r="P47" i="90" s="1"/>
  <c r="E24" i="15" s="1"/>
  <c r="I43" i="90"/>
  <c r="P41" i="90"/>
  <c r="C41" i="90"/>
  <c r="E42" i="86"/>
  <c r="F43" i="86"/>
  <c r="B43" i="86" s="1"/>
  <c r="D43" i="86"/>
  <c r="I43" i="86"/>
  <c r="C41" i="88"/>
  <c r="E8" i="91"/>
  <c r="P13" i="91" s="1"/>
  <c r="P46" i="91"/>
  <c r="D15" i="15" s="1"/>
  <c r="F15" i="15" s="1"/>
  <c r="D42" i="81"/>
  <c r="E42" i="81" s="1"/>
  <c r="C41" i="83"/>
  <c r="P41" i="83"/>
  <c r="C41" i="87"/>
  <c r="P41" i="87"/>
  <c r="I43" i="84"/>
  <c r="F43" i="84"/>
  <c r="B43" i="84" s="1"/>
  <c r="C41" i="84"/>
  <c r="P41" i="84"/>
  <c r="AF35" i="2"/>
  <c r="O44" i="85" s="1"/>
  <c r="AE35" i="2"/>
  <c r="AE36" i="2" s="1"/>
  <c r="H23" i="15" s="1"/>
  <c r="H44" i="85"/>
  <c r="H44" i="83"/>
  <c r="W35" i="2"/>
  <c r="O44" i="83" s="1"/>
  <c r="V35" i="2"/>
  <c r="V36" i="2" s="1"/>
  <c r="H20" i="15" s="1"/>
  <c r="I43" i="87"/>
  <c r="F43" i="87"/>
  <c r="F43" i="85"/>
  <c r="B43" i="85" s="1"/>
  <c r="I43" i="85"/>
  <c r="F43" i="83"/>
  <c r="B43" i="83" s="1"/>
  <c r="I43" i="83"/>
  <c r="B42" i="88"/>
  <c r="J15" i="15"/>
  <c r="K51" i="91"/>
  <c r="D42" i="83"/>
  <c r="E42" i="83" s="1"/>
  <c r="D35" i="2"/>
  <c r="D36" i="2" s="1"/>
  <c r="H14" i="15" s="1"/>
  <c r="H44" i="81"/>
  <c r="E35" i="2"/>
  <c r="O44" i="81" s="1"/>
  <c r="E42" i="84"/>
  <c r="B42" i="84"/>
  <c r="C41" i="85"/>
  <c r="P41" i="85"/>
  <c r="I43" i="88"/>
  <c r="F43" i="88"/>
  <c r="D43" i="88" s="1"/>
  <c r="E42" i="89"/>
  <c r="B42" i="89"/>
  <c r="F43" i="89"/>
  <c r="D43" i="89" s="1"/>
  <c r="L51" i="89" s="1"/>
  <c r="I43" i="89"/>
  <c r="B42" i="87"/>
  <c r="C41" i="81"/>
  <c r="P41" i="81"/>
  <c r="C41" i="89"/>
  <c r="P41" i="89"/>
  <c r="D42" i="88"/>
  <c r="E42" i="88" s="1"/>
  <c r="I43" i="81"/>
  <c r="F43" i="81"/>
  <c r="B43" i="81" s="1"/>
  <c r="D42" i="87"/>
  <c r="E42" i="87" s="1"/>
  <c r="D42" i="85"/>
  <c r="E42" i="85" s="1"/>
  <c r="H44" i="84"/>
  <c r="Z35" i="2"/>
  <c r="O44" i="84" s="1"/>
  <c r="Y35" i="2"/>
  <c r="Y36" i="2" s="1"/>
  <c r="H21" i="15" s="1"/>
  <c r="D43" i="82" l="1"/>
  <c r="E43" i="82" s="1"/>
  <c r="B43" i="80"/>
  <c r="D43" i="80"/>
  <c r="E43" i="80" s="1"/>
  <c r="C43" i="80" s="1"/>
  <c r="C42" i="82"/>
  <c r="E43" i="86"/>
  <c r="P43" i="86" s="1"/>
  <c r="P42" i="90"/>
  <c r="C42" i="90"/>
  <c r="D43" i="90"/>
  <c r="L51" i="90" s="1"/>
  <c r="B43" i="90"/>
  <c r="I44" i="86"/>
  <c r="F44" i="86"/>
  <c r="B44" i="86" s="1"/>
  <c r="D44" i="86"/>
  <c r="L51" i="86" s="1"/>
  <c r="P42" i="80"/>
  <c r="C42" i="80"/>
  <c r="P42" i="86"/>
  <c r="C42" i="86"/>
  <c r="I44" i="80"/>
  <c r="F44" i="80"/>
  <c r="P47" i="80" s="1"/>
  <c r="E16" i="15" s="1"/>
  <c r="F44" i="82"/>
  <c r="P47" i="82" s="1"/>
  <c r="E18" i="15" s="1"/>
  <c r="I44" i="82"/>
  <c r="P42" i="81"/>
  <c r="C42" i="81"/>
  <c r="E43" i="88"/>
  <c r="P43" i="88" s="1"/>
  <c r="P42" i="83"/>
  <c r="C42" i="83"/>
  <c r="P42" i="85"/>
  <c r="C42" i="85"/>
  <c r="J22" i="15"/>
  <c r="K51" i="89"/>
  <c r="P42" i="88"/>
  <c r="C42" i="88"/>
  <c r="D43" i="87"/>
  <c r="L51" i="87" s="1"/>
  <c r="F44" i="85"/>
  <c r="D44" i="85" s="1"/>
  <c r="I44" i="85"/>
  <c r="B43" i="89"/>
  <c r="P47" i="89"/>
  <c r="E22" i="15" s="1"/>
  <c r="C42" i="89"/>
  <c r="P42" i="89"/>
  <c r="P42" i="84"/>
  <c r="C42" i="84"/>
  <c r="D43" i="85"/>
  <c r="E43" i="85" s="1"/>
  <c r="B43" i="87"/>
  <c r="P47" i="87"/>
  <c r="E17" i="15" s="1"/>
  <c r="I44" i="84"/>
  <c r="F44" i="84"/>
  <c r="D44" i="84" s="1"/>
  <c r="P42" i="87"/>
  <c r="C42" i="87"/>
  <c r="L51" i="88"/>
  <c r="F44" i="81"/>
  <c r="I44" i="81"/>
  <c r="D43" i="81"/>
  <c r="E43" i="81" s="1"/>
  <c r="B43" i="88"/>
  <c r="P47" i="88"/>
  <c r="E19" i="15" s="1"/>
  <c r="H26" i="15"/>
  <c r="I44" i="83"/>
  <c r="F44" i="83"/>
  <c r="E43" i="89"/>
  <c r="D43" i="83"/>
  <c r="E43" i="83" s="1"/>
  <c r="D43" i="84"/>
  <c r="E43" i="84" s="1"/>
  <c r="P46" i="88" l="1"/>
  <c r="D19" i="15" s="1"/>
  <c r="F19" i="15" s="1"/>
  <c r="P43" i="80"/>
  <c r="C43" i="86"/>
  <c r="C43" i="88"/>
  <c r="E44" i="86"/>
  <c r="P44" i="86" s="1"/>
  <c r="P46" i="86" s="1"/>
  <c r="D25" i="15" s="1"/>
  <c r="F25" i="15" s="1"/>
  <c r="J25" i="15"/>
  <c r="K51" i="86"/>
  <c r="D44" i="82"/>
  <c r="B44" i="82"/>
  <c r="D44" i="80"/>
  <c r="L51" i="80" s="1"/>
  <c r="B44" i="80"/>
  <c r="C43" i="82"/>
  <c r="P43" i="82"/>
  <c r="J24" i="15"/>
  <c r="K51" i="90"/>
  <c r="E43" i="90"/>
  <c r="L51" i="84"/>
  <c r="K51" i="84" s="1"/>
  <c r="E44" i="85"/>
  <c r="L51" i="85"/>
  <c r="C43" i="83"/>
  <c r="P43" i="83"/>
  <c r="C43" i="85"/>
  <c r="P43" i="85"/>
  <c r="C43" i="84"/>
  <c r="P43" i="84"/>
  <c r="B44" i="81"/>
  <c r="P47" i="81"/>
  <c r="E14" i="15" s="1"/>
  <c r="P43" i="81"/>
  <c r="C43" i="81"/>
  <c r="B44" i="85"/>
  <c r="P47" i="85"/>
  <c r="E23" i="15" s="1"/>
  <c r="D44" i="83"/>
  <c r="L51" i="83" s="1"/>
  <c r="E44" i="84"/>
  <c r="J17" i="15"/>
  <c r="K51" i="87"/>
  <c r="K51" i="88"/>
  <c r="J19" i="15"/>
  <c r="B44" i="83"/>
  <c r="P47" i="83"/>
  <c r="E20" i="15" s="1"/>
  <c r="D44" i="81"/>
  <c r="B44" i="84"/>
  <c r="P47" i="84"/>
  <c r="E21" i="15" s="1"/>
  <c r="C43" i="89"/>
  <c r="P43" i="89"/>
  <c r="P46" i="89" s="1"/>
  <c r="E43" i="87"/>
  <c r="C44" i="86" l="1"/>
  <c r="E8" i="86" s="1"/>
  <c r="P13" i="86" s="1"/>
  <c r="P43" i="90"/>
  <c r="P46" i="90" s="1"/>
  <c r="D24" i="15" s="1"/>
  <c r="F24" i="15" s="1"/>
  <c r="C43" i="90"/>
  <c r="E8" i="90" s="1"/>
  <c r="P13" i="90" s="1"/>
  <c r="K51" i="80"/>
  <c r="J16" i="15"/>
  <c r="E44" i="82"/>
  <c r="L51" i="82"/>
  <c r="J21" i="15"/>
  <c r="E44" i="80"/>
  <c r="E26" i="15"/>
  <c r="L51" i="81"/>
  <c r="E44" i="81"/>
  <c r="D22" i="15"/>
  <c r="F22" i="15" s="1"/>
  <c r="P44" i="84"/>
  <c r="P46" i="84" s="1"/>
  <c r="C44" i="84"/>
  <c r="J23" i="15"/>
  <c r="K51" i="85"/>
  <c r="J20" i="15"/>
  <c r="K51" i="83"/>
  <c r="C44" i="85"/>
  <c r="P44" i="85"/>
  <c r="P46" i="85" s="1"/>
  <c r="C43" i="87"/>
  <c r="P43" i="87"/>
  <c r="P46" i="87" s="1"/>
  <c r="E44" i="83"/>
  <c r="P44" i="80" l="1"/>
  <c r="P46" i="80" s="1"/>
  <c r="D16" i="15" s="1"/>
  <c r="F16" i="15" s="1"/>
  <c r="C44" i="80"/>
  <c r="J18" i="15"/>
  <c r="K51" i="82"/>
  <c r="C44" i="82"/>
  <c r="P44" i="82"/>
  <c r="P46" i="82" s="1"/>
  <c r="D18" i="15" s="1"/>
  <c r="F18" i="15" s="1"/>
  <c r="D21" i="15"/>
  <c r="F21" i="15" s="1"/>
  <c r="D23" i="15"/>
  <c r="F23" i="15" s="1"/>
  <c r="C44" i="83"/>
  <c r="P44" i="83"/>
  <c r="P46" i="83" s="1"/>
  <c r="C44" i="81"/>
  <c r="E8" i="81" s="1"/>
  <c r="P13" i="81" s="1"/>
  <c r="P44" i="81"/>
  <c r="P46" i="81" s="1"/>
  <c r="D17" i="15"/>
  <c r="F17" i="15" s="1"/>
  <c r="J14" i="15"/>
  <c r="K51" i="81"/>
  <c r="D20" i="15" l="1"/>
  <c r="F20" i="15" s="1"/>
  <c r="D14" i="15"/>
  <c r="P50" i="81"/>
  <c r="K15" i="15"/>
  <c r="K14" i="15"/>
  <c r="K24" i="15"/>
  <c r="K25" i="15"/>
  <c r="K18" i="15"/>
  <c r="K16" i="15"/>
  <c r="K19" i="15"/>
  <c r="J26" i="15"/>
  <c r="K22" i="15"/>
  <c r="K17" i="15"/>
  <c r="K23" i="15"/>
  <c r="K21" i="15"/>
  <c r="K20" i="15"/>
  <c r="N51" i="84" l="1"/>
  <c r="M51" i="84" s="1"/>
  <c r="L21" i="15"/>
  <c r="O51" i="84" s="1"/>
  <c r="L14" i="15"/>
  <c r="O51" i="81" s="1"/>
  <c r="K51" i="93"/>
  <c r="J51" i="93" s="1"/>
  <c r="N51" i="81"/>
  <c r="M51" i="81" s="1"/>
  <c r="L23" i="15"/>
  <c r="O51" i="85" s="1"/>
  <c r="N51" i="85"/>
  <c r="M51" i="85" s="1"/>
  <c r="N51" i="89"/>
  <c r="M51" i="89" s="1"/>
  <c r="L22" i="15"/>
  <c r="O51" i="89" s="1"/>
  <c r="L15" i="15"/>
  <c r="O51" i="91" s="1"/>
  <c r="N51" i="91"/>
  <c r="M51" i="91" s="1"/>
  <c r="G14" i="15"/>
  <c r="P48" i="91"/>
  <c r="P50" i="91" s="1"/>
  <c r="N51" i="86"/>
  <c r="M51" i="86" s="1"/>
  <c r="L25" i="15"/>
  <c r="L19" i="15"/>
  <c r="O51" i="88" s="1"/>
  <c r="N51" i="88"/>
  <c r="M51" i="88" s="1"/>
  <c r="F14" i="15"/>
  <c r="D26" i="15"/>
  <c r="N51" i="87"/>
  <c r="M51" i="87" s="1"/>
  <c r="L17" i="15"/>
  <c r="O51" i="87" s="1"/>
  <c r="L16" i="15"/>
  <c r="O51" i="80" s="1"/>
  <c r="N51" i="80"/>
  <c r="M51" i="80" s="1"/>
  <c r="N51" i="90"/>
  <c r="M51" i="90" s="1"/>
  <c r="L24" i="15"/>
  <c r="O51" i="90" s="1"/>
  <c r="L20" i="15"/>
  <c r="O51" i="83" s="1"/>
  <c r="N51" i="83"/>
  <c r="M51" i="83" s="1"/>
  <c r="L18" i="15"/>
  <c r="O51" i="82" s="1"/>
  <c r="N51" i="82"/>
  <c r="M51" i="82" s="1"/>
  <c r="O51" i="86" l="1"/>
  <c r="L26" i="15"/>
  <c r="G15" i="15"/>
  <c r="P48" i="80"/>
  <c r="P50" i="80" s="1"/>
  <c r="J13" i="83" l="1"/>
  <c r="H13" i="83" s="1"/>
  <c r="J13" i="80"/>
  <c r="H13" i="80" s="1"/>
  <c r="J13" i="89"/>
  <c r="H13" i="89" s="1"/>
  <c r="J13" i="90"/>
  <c r="H13" i="90" s="1"/>
  <c r="J13" i="84"/>
  <c r="H13" i="84" s="1"/>
  <c r="J13" i="82"/>
  <c r="H13" i="82" s="1"/>
  <c r="J13" i="81"/>
  <c r="H13" i="81" s="1"/>
  <c r="J13" i="86"/>
  <c r="H13" i="86" s="1"/>
  <c r="J13" i="91"/>
  <c r="H13" i="91" s="1"/>
  <c r="J13" i="87"/>
  <c r="H13" i="87" s="1"/>
  <c r="J13" i="85"/>
  <c r="H13" i="85" s="1"/>
  <c r="J13" i="88"/>
  <c r="H13" i="88" s="1"/>
  <c r="G16" i="15"/>
  <c r="P48" i="87"/>
  <c r="P50" i="87" s="1"/>
  <c r="G17" i="15" l="1"/>
  <c r="P48" i="82"/>
  <c r="P50" i="82" s="1"/>
  <c r="G18" i="15" l="1"/>
  <c r="P48" i="88"/>
  <c r="P50" i="88" s="1"/>
  <c r="G19" i="15" l="1"/>
  <c r="P48" i="83"/>
  <c r="P50" i="83" s="1"/>
  <c r="G20" i="15" l="1"/>
  <c r="P48" i="84"/>
  <c r="P50" i="84" s="1"/>
  <c r="G21" i="15" l="1"/>
  <c r="P48" i="89"/>
  <c r="P50" i="89" s="1"/>
  <c r="G22" i="15" l="1"/>
  <c r="P48" i="85"/>
  <c r="P50" i="85" s="1"/>
  <c r="G23" i="15" l="1"/>
  <c r="P48" i="90"/>
  <c r="P50" i="90" s="1"/>
  <c r="G24" i="15" l="1"/>
  <c r="P48" i="86"/>
  <c r="P50" i="86" s="1"/>
  <c r="G25" i="15" s="1"/>
  <c r="D10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Hans-Ulrik Karlén</author>
  </authors>
  <commentList>
    <comment ref="C16" authorId="0" shapeId="0" xr:uid="{00000000-0006-0000-0000-000001000000}">
      <text>
        <r>
          <rPr>
            <sz val="10"/>
            <color indexed="81"/>
            <rFont val="Arial"/>
            <family val="2"/>
          </rPr>
          <t xml:space="preserve">Flytta mellan rutorna här resp i månadsbladen med </t>
        </r>
        <r>
          <rPr>
            <u/>
            <sz val="10"/>
            <color indexed="81"/>
            <rFont val="Arial"/>
            <family val="2"/>
          </rPr>
          <t>tabulator</t>
        </r>
        <r>
          <rPr>
            <sz val="10"/>
            <color indexed="81"/>
            <rFont val="Arial"/>
            <family val="2"/>
          </rPr>
          <t>-tangenten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Hans-Ulrik Karlén</author>
  </authors>
  <commentList>
    <comment ref="J3" authorId="0" shapeId="0" xr:uid="{00000000-0006-0000-0300-000001000000}">
      <text>
        <r>
          <rPr>
            <b/>
            <sz val="9"/>
            <color indexed="81"/>
            <rFont val="Arial"/>
            <family val="2"/>
          </rPr>
          <t>Resp dags normalarbetstid fås genom formel via arket "Fridag" och kopieras till dold kolumn på resp månads ark</t>
        </r>
      </text>
    </comment>
    <comment ref="N3" authorId="0" shapeId="0" xr:uid="{00000000-0006-0000-0300-000002000000}">
      <text>
        <r>
          <rPr>
            <b/>
            <sz val="9"/>
            <color indexed="81"/>
            <rFont val="Arial"/>
            <family val="2"/>
          </rPr>
          <t>Helg- &amp; klämdaginfo hämtas från "Fridag" och förs vidare till resp månadsark</t>
        </r>
      </text>
    </comment>
    <comment ref="A5" authorId="0" shapeId="0" xr:uid="{00000000-0006-0000-0300-000003000000}">
      <text>
        <r>
          <rPr>
            <b/>
            <sz val="9"/>
            <color indexed="81"/>
            <rFont val="Arial"/>
            <family val="2"/>
          </rPr>
          <t xml:space="preserve">Ovanför första datumrad ligger en dold rad som ger startdatum för månaden, baserat på "årtal" </t>
        </r>
      </text>
    </comment>
    <comment ref="F33" authorId="0" shapeId="0" xr:uid="{00000000-0006-0000-0300-000004000000}">
      <text>
        <r>
          <rPr>
            <b/>
            <sz val="8"/>
            <color indexed="81"/>
            <rFont val="Arial"/>
            <family val="2"/>
          </rPr>
          <t xml:space="preserve">29 feb tillkommer vid skottår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Hans-Ulrik Karlén</author>
  </authors>
  <commentList>
    <comment ref="I51" authorId="0" shapeId="0" xr:uid="{00000000-0006-0000-0400-000001000000}">
      <text>
        <r>
          <rPr>
            <b/>
            <sz val="9"/>
            <color indexed="81"/>
            <rFont val="Geneva"/>
          </rPr>
          <t xml:space="preserve">Ditt semesteruttag
</t>
        </r>
        <r>
          <rPr>
            <sz val="9"/>
            <color indexed="81"/>
            <rFont val="Geneva"/>
          </rPr>
          <t xml:space="preserve">uppdateras automatiskt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Hans-Ulrik Karlén</author>
  </authors>
  <commentList>
    <comment ref="O50" authorId="0" shapeId="0" xr:uid="{00000000-0006-0000-1100-000001000000}">
      <text>
        <r>
          <rPr>
            <b/>
            <sz val="9"/>
            <color indexed="81"/>
            <rFont val="Geneva"/>
          </rPr>
          <t>Överför dec-saldot till "Ing. flex-saldo" på nästa års "Grunddata"!</t>
        </r>
      </text>
    </comment>
  </commentList>
</comments>
</file>

<file path=xl/sharedStrings.xml><?xml version="1.0" encoding="utf-8"?>
<sst xmlns="http://schemas.openxmlformats.org/spreadsheetml/2006/main" count="778" uniqueCount="198">
  <si>
    <t>sem</t>
  </si>
  <si>
    <t>ändr.kol</t>
  </si>
  <si>
    <t>sparade:</t>
  </si>
  <si>
    <t>Ingående flexsaldo:</t>
  </si>
  <si>
    <t>årets:</t>
  </si>
  <si>
    <t>totalt:</t>
  </si>
  <si>
    <t>Påskafton</t>
  </si>
  <si>
    <t>obligatorisk ifyllnad</t>
  </si>
  <si>
    <t>normaltid</t>
  </si>
  <si>
    <t>tum</t>
  </si>
  <si>
    <t>dag</t>
  </si>
  <si>
    <t>Norm-</t>
  </si>
  <si>
    <t>tid</t>
  </si>
  <si>
    <t>Personnr</t>
  </si>
  <si>
    <t>Arbete</t>
  </si>
  <si>
    <t>Lunch</t>
  </si>
  <si>
    <t>start  kl</t>
  </si>
  <si>
    <t>åter  kl</t>
  </si>
  <si>
    <t>slut  kl</t>
  </si>
  <si>
    <t>Granskad</t>
  </si>
  <si>
    <t>Startsida</t>
  </si>
  <si>
    <t>Tjänsteomfattning</t>
  </si>
  <si>
    <t>dagar</t>
  </si>
  <si>
    <t>Sem-</t>
  </si>
  <si>
    <t>månad</t>
  </si>
  <si>
    <t>totalt</t>
  </si>
  <si>
    <t>Underskrift (prefekt/motsv)</t>
  </si>
  <si>
    <t>Underskrift</t>
  </si>
  <si>
    <t>Tjänst</t>
  </si>
  <si>
    <t>Semesterdagar</t>
  </si>
  <si>
    <t>LUNDS UNIVERSITET</t>
  </si>
  <si>
    <t>AVSTÄMNING AV ARBETSTIDEN</t>
  </si>
  <si>
    <t>Institution</t>
  </si>
  <si>
    <t>Månad  </t>
  </si>
  <si>
    <t>År  </t>
  </si>
  <si>
    <t>Förra månadens saldo +/-</t>
  </si>
  <si>
    <t/>
  </si>
  <si>
    <t>Alla helgons dag</t>
  </si>
  <si>
    <t>Annandag jul</t>
  </si>
  <si>
    <t>Vecko-</t>
  </si>
  <si>
    <t>På Mac bör du visa månadsbladen i 100% för god läsbarhet.</t>
  </si>
  <si>
    <t>1:20</t>
  </si>
  <si>
    <t>Läkarbesök 8:15 - 9:35</t>
  </si>
  <si>
    <t>Trettonafton</t>
  </si>
  <si>
    <t>Uppgifterna överförs till månadsbladen och hamnar ovanför kolumnrubrikerna – de syns först när</t>
  </si>
  <si>
    <t>-  det finns en "aktiveringsformel" på resp blad samt meddelandedelen nedan</t>
  </si>
  <si>
    <t>OM(INFO("system")="mac";"PUNKT";"KOLON")</t>
  </si>
  <si>
    <t>semfel_1</t>
  </si>
  <si>
    <t>semfel_2</t>
  </si>
  <si>
    <t>fel_1</t>
  </si>
  <si>
    <t>fel_2</t>
  </si>
  <si>
    <t>fel_3</t>
  </si>
  <si>
    <t>fel_4</t>
  </si>
  <si>
    <t xml:space="preserve">   (för att förenkla redigering av texten)</t>
  </si>
  <si>
    <t>Annandag påsk</t>
  </si>
  <si>
    <t>Lunds universitet</t>
  </si>
  <si>
    <t>För att se månadsflikarna måste du ställa in Excel så att arket täcker hela Excel-fönstret.</t>
  </si>
  <si>
    <t>Du har inga semesterdagar kvar!</t>
  </si>
  <si>
    <t>Felkoderna 1-3 byggs upp av nedanstående delar</t>
  </si>
  <si>
    <t>Felkoderna nedan hanteras via menyvalet "Infoga -&gt; Namn -&gt; Definiera"</t>
  </si>
  <si>
    <t>du skriver ut eller när du förhandsgranskar sidan (Arkiv -&gt; Förhandsgranska resp File -&gt; Preview).</t>
  </si>
  <si>
    <t xml:space="preserve"> tim</t>
  </si>
  <si>
    <t>8:00</t>
  </si>
  <si>
    <t>Föräldraledig</t>
  </si>
  <si>
    <t>ändra vid behov</t>
  </si>
  <si>
    <t>min</t>
  </si>
  <si>
    <t>på resp månadsblad.</t>
  </si>
  <si>
    <t>När en månad är slut skriver du ut bladet för underskrift och arkivering enligt era rutiner.</t>
  </si>
  <si>
    <t>TEST</t>
  </si>
  <si>
    <t>Semester</t>
  </si>
  <si>
    <t>Startdatum</t>
  </si>
  <si>
    <t>Slutdatum</t>
  </si>
  <si>
    <t>Personnummer</t>
  </si>
  <si>
    <t>Namn</t>
  </si>
  <si>
    <t>Arb.tid</t>
  </si>
  <si>
    <t>Datum</t>
  </si>
  <si>
    <t>Anmärkning</t>
  </si>
  <si>
    <t>S:a tid</t>
  </si>
  <si>
    <t>Nyårsdagen</t>
  </si>
  <si>
    <t>Trettondagen</t>
  </si>
  <si>
    <t>Klämdag</t>
  </si>
  <si>
    <t>Pingstafton</t>
  </si>
  <si>
    <t>Pingstdagen</t>
  </si>
  <si>
    <t>Midsommarafton</t>
  </si>
  <si>
    <t>Midsommardagen</t>
  </si>
  <si>
    <t>Julafton</t>
  </si>
  <si>
    <t>Juldagen</t>
  </si>
  <si>
    <t>Nyårsafton</t>
  </si>
  <si>
    <t>Da-</t>
  </si>
  <si>
    <t xml:space="preserve">  Fel 1</t>
  </si>
  <si>
    <t xml:space="preserve">  Fel 2</t>
  </si>
  <si>
    <t xml:space="preserve">  Fel 3</t>
  </si>
  <si>
    <t>arbetad tid</t>
  </si>
  <si>
    <t>normtid</t>
  </si>
  <si>
    <t>flexsumma</t>
  </si>
  <si>
    <t>Flexsaldo; ingående</t>
  </si>
  <si>
    <r>
      <t xml:space="preserve">OBS att endast det första av ev flera </t>
    </r>
    <r>
      <rPr>
        <b/>
        <sz val="10"/>
        <rFont val="Arial"/>
        <family val="2"/>
      </rPr>
      <t>felmeddelanden</t>
    </r>
    <r>
      <rPr>
        <sz val="10"/>
        <rFont val="Arial"/>
        <family val="2"/>
      </rPr>
      <t xml:space="preserve"> visas i INFO-rutan - du får "nya" </t>
    </r>
  </si>
  <si>
    <t>tills rutan är tom resp "felräknaren" har försvunnit.</t>
  </si>
  <si>
    <r>
      <t xml:space="preserve">fyll i ev </t>
    </r>
    <r>
      <rPr>
        <i/>
        <sz val="9"/>
        <rFont val="Arial"/>
        <family val="2"/>
      </rPr>
      <t xml:space="preserve">semester </t>
    </r>
    <r>
      <rPr>
        <sz val="9"/>
        <rFont val="Arial"/>
        <family val="2"/>
      </rPr>
      <t>el</t>
    </r>
    <r>
      <rPr>
        <sz val="9"/>
        <rFont val="Arial"/>
        <family val="2"/>
      </rPr>
      <t xml:space="preserve"> </t>
    </r>
    <r>
      <rPr>
        <i/>
        <sz val="9"/>
        <rFont val="Arial"/>
        <family val="2"/>
      </rPr>
      <t>sjuk</t>
    </r>
    <r>
      <rPr>
        <sz val="9"/>
        <rFont val="Arial"/>
        <family val="2"/>
      </rPr>
      <t xml:space="preserve"> </t>
    </r>
    <r>
      <rPr>
        <sz val="9"/>
        <rFont val="Arial"/>
        <family val="2"/>
      </rPr>
      <t>nedan</t>
    </r>
  </si>
  <si>
    <t>       Felmärke</t>
  </si>
  <si>
    <t>ändr_fel</t>
  </si>
  <si>
    <t>ändr</t>
  </si>
  <si>
    <t>kol.</t>
  </si>
  <si>
    <t>Ledig kl 14-15</t>
  </si>
  <si>
    <t>Tandläkarbesök</t>
  </si>
  <si>
    <t>Sjuk</t>
  </si>
  <si>
    <t>Tjänsteresa</t>
  </si>
  <si>
    <t>08:00</t>
  </si>
  <si>
    <t>Kompledig</t>
  </si>
  <si>
    <r>
      <t xml:space="preserve">Ändring </t>
    </r>
    <r>
      <rPr>
        <b/>
        <sz val="10"/>
        <rFont val="Arial"/>
        <family val="2"/>
      </rPr>
      <t>+/ -</t>
    </r>
  </si>
  <si>
    <t xml:space="preserve"> decimaltal</t>
  </si>
  <si>
    <t>kvar</t>
  </si>
  <si>
    <t>Del 1</t>
  </si>
  <si>
    <t>Del 3</t>
  </si>
  <si>
    <t>Del 2</t>
  </si>
  <si>
    <t>Använd inte Excels funktion 'fyll nedåt' utom på enstaka kolumner, och helst inte alls.</t>
  </si>
  <si>
    <t>Hämtat</t>
  </si>
  <si>
    <t>från</t>
  </si>
  <si>
    <t>sem-/sjuk</t>
  </si>
  <si>
    <t>För beräkn</t>
  </si>
  <si>
    <t>Antal fel:</t>
  </si>
  <si>
    <t>Här</t>
  </si>
  <si>
    <t>beräknas</t>
  </si>
  <si>
    <t>arb.tid</t>
  </si>
  <si>
    <t>T o m inneva-rande dag: </t>
  </si>
  <si>
    <t>mitt semesteruttag</t>
  </si>
  <si>
    <t>Påskdagen</t>
  </si>
  <si>
    <t>tim</t>
  </si>
  <si>
    <t>flex_över</t>
  </si>
  <si>
    <t>Felkod 6 kontrollerar datorplattform; pc eller Mac</t>
  </si>
  <si>
    <t>-1:00</t>
  </si>
  <si>
    <t>ack flextid *</t>
  </si>
  <si>
    <t>*  efter avdrag för ev över-/mertidsutbetalning under månaden</t>
  </si>
  <si>
    <t>Felkod 5 består av tre delar</t>
  </si>
  <si>
    <t>-  en "aktiveringsformel" på resp blad samt info-delarna nedan</t>
  </si>
  <si>
    <t>Felmärke</t>
  </si>
  <si>
    <t>Felkod 7 hanterar maxantalet flex-timmar</t>
  </si>
  <si>
    <t>periodens hittillsvarande</t>
  </si>
  <si>
    <t>Arkdata och copyright-info</t>
  </si>
  <si>
    <t>Grunddata</t>
  </si>
  <si>
    <t>Felinfo</t>
  </si>
  <si>
    <t>Fridag</t>
  </si>
  <si>
    <t>Normtid</t>
  </si>
  <si>
    <t>Årssammandrag</t>
  </si>
  <si>
    <t>Månadsflik</t>
  </si>
  <si>
    <t>Ändring +/ -</t>
  </si>
  <si>
    <t>Ändra startdatum till när den nya omfattningen börjar gälla och flytta över flexsaldo och kvarvarande semesterdagar!</t>
  </si>
  <si>
    <r>
      <t xml:space="preserve">Uttagna semesterdagar resp sjukdagar anger du fortlöpande i kolumen </t>
    </r>
    <r>
      <rPr>
        <i/>
        <sz val="10"/>
        <rFont val="Arial"/>
        <family val="2"/>
      </rPr>
      <t>Anmärkning</t>
    </r>
  </si>
  <si>
    <t>Aktuellt år</t>
  </si>
  <si>
    <t>Normalarbetstid</t>
  </si>
  <si>
    <t>vecko-dag</t>
  </si>
  <si>
    <t>arbets-tidskvot</t>
  </si>
  <si>
    <t>På pc, visa gärna månadsbladen i 80% storlek för att se hela månaden på en gång.</t>
  </si>
  <si>
    <t>flexmax</t>
  </si>
  <si>
    <t>Flexsaldo</t>
  </si>
  <si>
    <t>=OM(F33&lt;&gt;"";OM(OCH(VECKODAG(F33)&gt;1;VECKODAG(F33)&lt;7);OM(H33="";normtid;"ej sem");"ej sem");"")</t>
  </si>
  <si>
    <t>"bra-att-ha"-formel</t>
  </si>
  <si>
    <t>del 1</t>
  </si>
  <si>
    <t>del 2</t>
  </si>
  <si>
    <t>måste du först ta bort bladets skydd!</t>
  </si>
  <si>
    <t>För att ändra felkoder och arkdata</t>
  </si>
  <si>
    <t xml:space="preserve"> decimalt</t>
  </si>
  <si>
    <t>vita ytor är skrivskyddade</t>
  </si>
  <si>
    <r>
      <t xml:space="preserve">fyll i ev </t>
    </r>
    <r>
      <rPr>
        <b/>
        <i/>
        <sz val="9"/>
        <rFont val="Arial"/>
        <family val="2"/>
      </rPr>
      <t>semester, sjuk</t>
    </r>
    <r>
      <rPr>
        <b/>
        <sz val="9"/>
        <rFont val="Arial"/>
        <family val="2"/>
      </rPr>
      <t xml:space="preserve"> el </t>
    </r>
    <r>
      <rPr>
        <b/>
        <i/>
        <sz val="9"/>
        <rFont val="Arial"/>
        <family val="2"/>
      </rPr>
      <t>deltid</t>
    </r>
    <r>
      <rPr>
        <b/>
        <sz val="9"/>
        <rFont val="Arial"/>
        <family val="2"/>
      </rPr>
      <t xml:space="preserve"> nedan</t>
    </r>
  </si>
  <si>
    <r>
      <t xml:space="preserve">fyll i ev </t>
    </r>
    <r>
      <rPr>
        <b/>
        <i/>
        <sz val="9"/>
        <rFont val="Arial"/>
        <family val="2"/>
      </rPr>
      <t>semester, sjuk, deltid</t>
    </r>
    <r>
      <rPr>
        <b/>
        <sz val="9"/>
        <rFont val="Arial"/>
        <family val="2"/>
      </rPr>
      <t xml:space="preserve"> nedan</t>
    </r>
  </si>
  <si>
    <t>Flex 99:02E • huk-51 • ©</t>
  </si>
  <si>
    <t>Flex 99:02F • huk-51 • ©</t>
  </si>
  <si>
    <t>Flex 99:03B • huk-51 • ©</t>
  </si>
  <si>
    <t>Flex 99:03C • huk-51 • ©</t>
  </si>
  <si>
    <t>Nationaldagen</t>
  </si>
  <si>
    <t>Uppgifterna hämtas från "Grunddata" och resp månadsblad</t>
  </si>
  <si>
    <r>
      <t xml:space="preserve">Fyll i dina personuppgifter i den inramade rutan nedan - fyll i alla </t>
    </r>
    <r>
      <rPr>
        <b/>
        <sz val="10"/>
        <rFont val="Arial"/>
        <family val="2"/>
      </rPr>
      <t>färgade</t>
    </r>
    <r>
      <rPr>
        <sz val="10"/>
        <rFont val="Arial"/>
        <family val="2"/>
      </rPr>
      <t xml:space="preserve"> fält, tack (och ändra</t>
    </r>
  </si>
  <si>
    <t>Byter du tjänsteomfattning under pågående år måste du börja om med en ny "rapportbok".</t>
  </si>
  <si>
    <r>
      <t xml:space="preserve">formeln  </t>
    </r>
    <r>
      <rPr>
        <sz val="10"/>
        <rFont val="Arial"/>
        <family val="2"/>
      </rPr>
      <t>TEXT(LETARAD(1;B14:H44;7)</t>
    </r>
    <r>
      <rPr>
        <i/>
        <sz val="10"/>
        <rFont val="Arial"/>
        <family val="2"/>
      </rPr>
      <t xml:space="preserve">  söker aktuellt datum</t>
    </r>
  </si>
  <si>
    <t>Flex 99:02B • huk-51 • ©</t>
  </si>
  <si>
    <t>Flex 99:03E • huk-51 • ©</t>
  </si>
  <si>
    <t>Använder du inte svensk Excel: ev ändring av filnamn ska göras i operativsystemet.</t>
  </si>
  <si>
    <t>Skärtorsdagen</t>
  </si>
  <si>
    <t>Långfredagen</t>
  </si>
  <si>
    <t>Dag före Alla Helgons dag</t>
  </si>
  <si>
    <t>sådana förifyllda uppgifter, även tjänsteomfattning och start-/slutdatum, som inte stämmer för dig)!</t>
  </si>
  <si>
    <t>OBS att du ser aldrig tider längre fram än t o m "i dag" på månadsbladen!</t>
  </si>
  <si>
    <r>
      <t xml:space="preserve">Vill du flytta data eller text, använd </t>
    </r>
    <r>
      <rPr>
        <b/>
        <u/>
        <sz val="11"/>
        <rFont val="Arial"/>
        <family val="2"/>
      </rPr>
      <t>kopiera-och-klistra-in</t>
    </r>
    <r>
      <rPr>
        <b/>
        <sz val="11"/>
        <rFont val="Arial"/>
        <family val="2"/>
      </rPr>
      <t xml:space="preserve">, </t>
    </r>
    <r>
      <rPr>
        <b/>
        <sz val="11"/>
        <color indexed="10"/>
        <rFont val="Arial"/>
        <family val="2"/>
      </rPr>
      <t>aldrig klipp-och-klistra!</t>
    </r>
  </si>
  <si>
    <t xml:space="preserve">  datum</t>
  </si>
  <si>
    <t xml:space="preserve"> orsak</t>
  </si>
  <si>
    <r>
      <t xml:space="preserve">- Har du inga semesterdagar kvar, ange antalet dagar som </t>
    </r>
    <r>
      <rPr>
        <b/>
        <sz val="10"/>
        <rFont val="Arial"/>
        <family val="2"/>
      </rPr>
      <t>0</t>
    </r>
  </si>
  <si>
    <t>Första maj</t>
  </si>
  <si>
    <t>Kristi himmelsfärdsdag</t>
  </si>
  <si>
    <t>Sö</t>
  </si>
  <si>
    <t>To</t>
  </si>
  <si>
    <t>Fr</t>
  </si>
  <si>
    <t>Lö</t>
  </si>
  <si>
    <t>Må</t>
  </si>
  <si>
    <t>Trettondagsafton</t>
  </si>
  <si>
    <t>Valborgsmässoafton</t>
  </si>
  <si>
    <t>Trettondedag jul</t>
  </si>
  <si>
    <t>Ti</t>
  </si>
  <si>
    <t>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</si>
</sst>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d"/>
    <numFmt numFmtId="165" formatCode="mmm"/>
    <numFmt numFmtId="166" formatCode="yyyy"/>
    <numFmt numFmtId="167" formatCode="h:mm;\-h:mm"/>
    <numFmt numFmtId="168" formatCode="mmmm"/>
    <numFmt numFmtId="169" formatCode="d/m\ yy"/>
    <numFmt numFmtId="170" formatCode="0.0%"/>
    <numFmt numFmtId="171" formatCode="0.00;[Red]\-0.00"/>
  </numFmts>
  <fonts count="76">
    <font>
      <sz val="10"/>
      <name val="Geneva"/>
    </font>
    <font>
      <b/>
      <sz val="10"/>
      <name val="Geneva"/>
    </font>
    <font>
      <i/>
      <sz val="10"/>
      <name val="Geneva"/>
    </font>
    <font>
      <sz val="10"/>
      <name val="Geneva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sz val="6"/>
      <name val="Geneva"/>
    </font>
    <font>
      <b/>
      <sz val="12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4"/>
      <name val="Arial"/>
      <family val="2"/>
    </font>
    <font>
      <b/>
      <sz val="9"/>
      <name val="Geneva"/>
    </font>
    <font>
      <i/>
      <sz val="10"/>
      <name val="Times New Roman"/>
      <family val="1"/>
    </font>
    <font>
      <b/>
      <sz val="18"/>
      <name val="Arial"/>
      <family val="2"/>
    </font>
    <font>
      <b/>
      <sz val="14"/>
      <name val="Arial"/>
      <family val="2"/>
    </font>
    <font>
      <b/>
      <sz val="9"/>
      <color indexed="81"/>
      <name val="Geneva"/>
    </font>
    <font>
      <sz val="12"/>
      <name val="Frutiger 45 Light"/>
    </font>
    <font>
      <sz val="10"/>
      <name val="Frutiger 45 Light"/>
    </font>
    <font>
      <sz val="10"/>
      <color indexed="9"/>
      <name val="Arial"/>
      <family val="2"/>
    </font>
    <font>
      <b/>
      <sz val="10"/>
      <name val="Arial"/>
      <family val="2"/>
    </font>
    <font>
      <i/>
      <sz val="12"/>
      <name val="Times New Roman"/>
      <family val="1"/>
    </font>
    <font>
      <u/>
      <sz val="10"/>
      <color indexed="12"/>
      <name val="Geneva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9"/>
      <name val="Arial"/>
      <family val="2"/>
    </font>
    <font>
      <sz val="14"/>
      <name val="Geneva"/>
    </font>
    <font>
      <sz val="12"/>
      <color indexed="9"/>
      <name val="Times New Roman"/>
      <family val="1"/>
    </font>
    <font>
      <sz val="9"/>
      <name val="Arial"/>
      <family val="2"/>
    </font>
    <font>
      <sz val="10"/>
      <name val="Times New Roman"/>
      <family val="1"/>
    </font>
    <font>
      <i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Times New Roman"/>
      <family val="1"/>
    </font>
    <font>
      <b/>
      <sz val="11"/>
      <color indexed="10"/>
      <name val="Arial"/>
      <family val="2"/>
    </font>
    <font>
      <i/>
      <sz val="10"/>
      <name val="Arial"/>
      <family val="2"/>
    </font>
    <font>
      <b/>
      <i/>
      <sz val="12"/>
      <name val="Arial"/>
      <family val="2"/>
    </font>
    <font>
      <i/>
      <sz val="9"/>
      <name val="Arial"/>
      <family val="2"/>
    </font>
    <font>
      <b/>
      <i/>
      <sz val="10"/>
      <name val="Arial"/>
      <family val="2"/>
    </font>
    <font>
      <b/>
      <sz val="8"/>
      <color indexed="81"/>
      <name val="Arial"/>
      <family val="2"/>
    </font>
    <font>
      <b/>
      <sz val="9"/>
      <color indexed="81"/>
      <name val="Arial"/>
      <family val="2"/>
    </font>
    <font>
      <sz val="10"/>
      <color indexed="81"/>
      <name val="Arial"/>
      <family val="2"/>
    </font>
    <font>
      <sz val="10"/>
      <color indexed="10"/>
      <name val="Arial"/>
      <family val="2"/>
    </font>
    <font>
      <sz val="12"/>
      <name val="Palatino"/>
      <family val="1"/>
    </font>
    <font>
      <sz val="6"/>
      <name val="Arial"/>
      <family val="2"/>
    </font>
    <font>
      <b/>
      <sz val="11"/>
      <color indexed="10"/>
      <name val="Arial"/>
      <family val="2"/>
    </font>
    <font>
      <sz val="10"/>
      <color indexed="10"/>
      <name val="Geneva"/>
    </font>
    <font>
      <b/>
      <sz val="10"/>
      <color indexed="10"/>
      <name val="Arial"/>
      <family val="2"/>
    </font>
    <font>
      <i/>
      <sz val="11"/>
      <name val="Arial"/>
      <family val="2"/>
    </font>
    <font>
      <sz val="10"/>
      <name val="Arial Black"/>
      <family val="2"/>
    </font>
    <font>
      <sz val="11"/>
      <name val="Frutiger 45 Light"/>
    </font>
    <font>
      <b/>
      <sz val="12"/>
      <name val="Times New Roman"/>
      <family val="1"/>
    </font>
    <font>
      <sz val="9"/>
      <color indexed="81"/>
      <name val="Geneva"/>
    </font>
    <font>
      <b/>
      <i/>
      <sz val="11"/>
      <name val="Arial"/>
      <family val="2"/>
    </font>
    <font>
      <sz val="9"/>
      <name val="Geneva"/>
    </font>
    <font>
      <b/>
      <sz val="12"/>
      <color indexed="10"/>
      <name val="Times New Roman"/>
      <family val="1"/>
    </font>
    <font>
      <sz val="10"/>
      <color indexed="10"/>
      <name val="Arial"/>
      <family val="2"/>
    </font>
    <font>
      <sz val="10"/>
      <name val="Geneva"/>
    </font>
    <font>
      <b/>
      <sz val="12"/>
      <color indexed="10"/>
      <name val="Arial"/>
      <family val="2"/>
    </font>
    <font>
      <b/>
      <sz val="9"/>
      <color indexed="9"/>
      <name val="Arial"/>
      <family val="2"/>
    </font>
    <font>
      <b/>
      <i/>
      <sz val="9"/>
      <name val="Arial"/>
      <family val="2"/>
    </font>
    <font>
      <i/>
      <sz val="9"/>
      <name val="Times New Roman"/>
      <family val="1"/>
    </font>
    <font>
      <b/>
      <u/>
      <sz val="11"/>
      <name val="Arial"/>
      <family val="2"/>
    </font>
    <font>
      <sz val="14"/>
      <name val="Times New Roman"/>
      <family val="1"/>
    </font>
    <font>
      <u/>
      <sz val="10"/>
      <color indexed="81"/>
      <name val="Arial"/>
      <family val="2"/>
    </font>
    <font>
      <sz val="7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1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</cellStyleXfs>
  <cellXfs count="569">
    <xf numFmtId="0" fontId="0" fillId="0" borderId="0" xfId="0"/>
    <xf numFmtId="0" fontId="4" fillId="0" borderId="0" xfId="0" applyFont="1"/>
    <xf numFmtId="0" fontId="10" fillId="0" borderId="0" xfId="0" applyFont="1"/>
    <xf numFmtId="0" fontId="4" fillId="0" borderId="1" xfId="0" applyFont="1" applyBorder="1"/>
    <xf numFmtId="0" fontId="4" fillId="0" borderId="2" xfId="0" applyFont="1" applyBorder="1"/>
    <xf numFmtId="0" fontId="5" fillId="0" borderId="0" xfId="0" applyFont="1"/>
    <xf numFmtId="20" fontId="4" fillId="0" borderId="0" xfId="0" applyNumberFormat="1" applyFont="1"/>
    <xf numFmtId="20" fontId="4" fillId="0" borderId="1" xfId="0" applyNumberFormat="1" applyFont="1" applyBorder="1"/>
    <xf numFmtId="167" fontId="4" fillId="0" borderId="0" xfId="0" applyNumberFormat="1" applyFont="1"/>
    <xf numFmtId="167" fontId="4" fillId="0" borderId="1" xfId="0" applyNumberFormat="1" applyFont="1" applyBorder="1"/>
    <xf numFmtId="20" fontId="4" fillId="0" borderId="3" xfId="0" applyNumberFormat="1" applyFont="1" applyBorder="1"/>
    <xf numFmtId="20" fontId="4" fillId="0" borderId="4" xfId="0" applyNumberFormat="1" applyFont="1" applyBorder="1"/>
    <xf numFmtId="0" fontId="18" fillId="0" borderId="0" xfId="0" applyFont="1"/>
    <xf numFmtId="0" fontId="7" fillId="0" borderId="5" xfId="0" applyFont="1" applyBorder="1"/>
    <xf numFmtId="0" fontId="12" fillId="0" borderId="0" xfId="0" applyFont="1"/>
    <xf numFmtId="0" fontId="26" fillId="0" borderId="0" xfId="0" applyFont="1"/>
    <xf numFmtId="0" fontId="27" fillId="0" borderId="0" xfId="0" applyFont="1"/>
    <xf numFmtId="0" fontId="7" fillId="0" borderId="0" xfId="0" applyFont="1" applyProtection="1">
      <protection hidden="1"/>
    </xf>
    <xf numFmtId="0" fontId="20" fillId="0" borderId="0" xfId="0" applyFont="1" applyProtection="1">
      <protection hidden="1"/>
    </xf>
    <xf numFmtId="0" fontId="23" fillId="0" borderId="0" xfId="0" applyFont="1" applyProtection="1">
      <protection hidden="1"/>
    </xf>
    <xf numFmtId="0" fontId="19" fillId="0" borderId="0" xfId="0" applyFont="1" applyProtection="1">
      <protection hidden="1"/>
    </xf>
    <xf numFmtId="0" fontId="15" fillId="0" borderId="0" xfId="0" applyFont="1" applyProtection="1">
      <protection hidden="1"/>
    </xf>
    <xf numFmtId="0" fontId="15" fillId="0" borderId="0" xfId="0" applyFont="1" applyAlignment="1" applyProtection="1">
      <alignment horizontal="right"/>
      <protection hidden="1"/>
    </xf>
    <xf numFmtId="4" fontId="15" fillId="0" borderId="6" xfId="0" applyNumberFormat="1" applyFont="1" applyBorder="1" applyProtection="1">
      <protection hidden="1"/>
    </xf>
    <xf numFmtId="4" fontId="15" fillId="0" borderId="0" xfId="0" applyNumberFormat="1" applyFont="1" applyProtection="1">
      <protection hidden="1"/>
    </xf>
    <xf numFmtId="0" fontId="15" fillId="2" borderId="0" xfId="0" applyFont="1" applyFill="1" applyProtection="1">
      <protection hidden="1"/>
    </xf>
    <xf numFmtId="0" fontId="7" fillId="0" borderId="0" xfId="0" applyFont="1" applyAlignment="1">
      <alignment horizontal="center"/>
    </xf>
    <xf numFmtId="0" fontId="26" fillId="0" borderId="0" xfId="0" applyFont="1" applyAlignment="1">
      <alignment horizontal="right"/>
    </xf>
    <xf numFmtId="0" fontId="0" fillId="0" borderId="0" xfId="0" applyAlignment="1">
      <alignment horizontal="center"/>
    </xf>
    <xf numFmtId="2" fontId="27" fillId="0" borderId="0" xfId="0" applyNumberFormat="1" applyFont="1"/>
    <xf numFmtId="0" fontId="4" fillId="0" borderId="0" xfId="0" applyFont="1" applyProtection="1">
      <protection hidden="1"/>
    </xf>
    <xf numFmtId="0" fontId="5" fillId="0" borderId="0" xfId="0" applyFont="1" applyAlignment="1" applyProtection="1">
      <alignment horizontal="right"/>
      <protection hidden="1"/>
    </xf>
    <xf numFmtId="166" fontId="8" fillId="0" borderId="7" xfId="0" applyNumberFormat="1" applyFont="1" applyBorder="1" applyProtection="1">
      <protection hidden="1"/>
    </xf>
    <xf numFmtId="168" fontId="8" fillId="0" borderId="7" xfId="0" applyNumberFormat="1" applyFont="1" applyBorder="1" applyProtection="1">
      <protection hidden="1"/>
    </xf>
    <xf numFmtId="0" fontId="5" fillId="0" borderId="8" xfId="0" applyFont="1" applyBorder="1" applyProtection="1">
      <protection hidden="1"/>
    </xf>
    <xf numFmtId="0" fontId="5" fillId="0" borderId="9" xfId="0" applyFont="1" applyBorder="1" applyProtection="1">
      <protection hidden="1"/>
    </xf>
    <xf numFmtId="0" fontId="4" fillId="0" borderId="9" xfId="0" applyFont="1" applyBorder="1" applyProtection="1">
      <protection hidden="1"/>
    </xf>
    <xf numFmtId="0" fontId="5" fillId="0" borderId="8" xfId="0" applyFont="1" applyBorder="1" applyAlignment="1" applyProtection="1">
      <alignment horizontal="center"/>
      <protection hidden="1"/>
    </xf>
    <xf numFmtId="0" fontId="8" fillId="0" borderId="6" xfId="0" applyFont="1" applyBorder="1" applyProtection="1">
      <protection hidden="1"/>
    </xf>
    <xf numFmtId="0" fontId="8" fillId="0" borderId="10" xfId="0" applyFont="1" applyBorder="1" applyProtection="1">
      <protection hidden="1"/>
    </xf>
    <xf numFmtId="0" fontId="9" fillId="0" borderId="5" xfId="0" applyFont="1" applyBorder="1" applyProtection="1">
      <protection hidden="1"/>
    </xf>
    <xf numFmtId="0" fontId="10" fillId="0" borderId="5" xfId="0" applyFont="1" applyBorder="1" applyProtection="1">
      <protection hidden="1"/>
    </xf>
    <xf numFmtId="0" fontId="8" fillId="0" borderId="10" xfId="0" applyFont="1" applyBorder="1" applyAlignment="1" applyProtection="1">
      <alignment horizontal="left"/>
      <protection hidden="1"/>
    </xf>
    <xf numFmtId="0" fontId="8" fillId="0" borderId="5" xfId="0" applyFont="1" applyBorder="1" applyProtection="1">
      <protection hidden="1"/>
    </xf>
    <xf numFmtId="0" fontId="37" fillId="0" borderId="11" xfId="0" applyFont="1" applyBorder="1" applyProtection="1">
      <protection hidden="1"/>
    </xf>
    <xf numFmtId="164" fontId="30" fillId="0" borderId="12" xfId="0" applyNumberFormat="1" applyFont="1" applyBorder="1" applyProtection="1">
      <protection hidden="1"/>
    </xf>
    <xf numFmtId="0" fontId="30" fillId="0" borderId="10" xfId="0" applyFont="1" applyBorder="1" applyProtection="1">
      <protection hidden="1"/>
    </xf>
    <xf numFmtId="2" fontId="22" fillId="0" borderId="12" xfId="0" applyNumberFormat="1" applyFont="1" applyBorder="1" applyProtection="1">
      <protection hidden="1"/>
    </xf>
    <xf numFmtId="20" fontId="33" fillId="0" borderId="10" xfId="0" applyNumberFormat="1" applyFont="1" applyBorder="1" applyAlignment="1" applyProtection="1">
      <alignment horizontal="center"/>
      <protection locked="0" hidden="1"/>
    </xf>
    <xf numFmtId="20" fontId="33" fillId="0" borderId="12" xfId="0" applyNumberFormat="1" applyFont="1" applyBorder="1" applyAlignment="1" applyProtection="1">
      <alignment horizontal="center"/>
      <protection locked="0" hidden="1"/>
    </xf>
    <xf numFmtId="1" fontId="33" fillId="0" borderId="12" xfId="0" applyNumberFormat="1" applyFont="1" applyBorder="1" applyProtection="1">
      <protection hidden="1"/>
    </xf>
    <xf numFmtId="0" fontId="16" fillId="0" borderId="13" xfId="0" applyFont="1" applyBorder="1" applyProtection="1">
      <protection hidden="1"/>
    </xf>
    <xf numFmtId="0" fontId="7" fillId="0" borderId="14" xfId="0" applyFont="1" applyBorder="1" applyProtection="1">
      <protection hidden="1"/>
    </xf>
    <xf numFmtId="20" fontId="7" fillId="0" borderId="14" xfId="0" applyNumberFormat="1" applyFont="1" applyBorder="1" applyProtection="1">
      <protection hidden="1"/>
    </xf>
    <xf numFmtId="167" fontId="7" fillId="0" borderId="14" xfId="0" applyNumberFormat="1" applyFont="1" applyBorder="1" applyProtection="1">
      <protection hidden="1"/>
    </xf>
    <xf numFmtId="1" fontId="7" fillId="0" borderId="14" xfId="0" applyNumberFormat="1" applyFont="1" applyBorder="1" applyProtection="1">
      <protection hidden="1"/>
    </xf>
    <xf numFmtId="0" fontId="16" fillId="0" borderId="15" xfId="0" applyFont="1" applyBorder="1" applyProtection="1">
      <protection hidden="1"/>
    </xf>
    <xf numFmtId="20" fontId="7" fillId="0" borderId="0" xfId="0" applyNumberFormat="1" applyFont="1" applyProtection="1">
      <protection hidden="1"/>
    </xf>
    <xf numFmtId="167" fontId="4" fillId="0" borderId="0" xfId="0" applyNumberFormat="1" applyFont="1" applyProtection="1">
      <protection hidden="1"/>
    </xf>
    <xf numFmtId="10" fontId="7" fillId="0" borderId="0" xfId="2" applyNumberFormat="1" applyFont="1" applyBorder="1" applyAlignment="1" applyProtection="1">
      <protection hidden="1"/>
    </xf>
    <xf numFmtId="1" fontId="7" fillId="0" borderId="0" xfId="2" applyNumberFormat="1" applyFont="1" applyBorder="1" applyAlignment="1" applyProtection="1">
      <protection hidden="1"/>
    </xf>
    <xf numFmtId="20" fontId="4" fillId="0" borderId="0" xfId="0" applyNumberFormat="1" applyFont="1" applyProtection="1">
      <protection hidden="1"/>
    </xf>
    <xf numFmtId="20" fontId="34" fillId="0" borderId="0" xfId="0" applyNumberFormat="1" applyFont="1" applyAlignment="1" applyProtection="1">
      <alignment vertical="center" wrapText="1"/>
      <protection hidden="1"/>
    </xf>
    <xf numFmtId="0" fontId="0" fillId="0" borderId="0" xfId="0" applyAlignment="1" applyProtection="1">
      <alignment vertical="center"/>
      <protection hidden="1"/>
    </xf>
    <xf numFmtId="1" fontId="7" fillId="0" borderId="0" xfId="0" applyNumberFormat="1" applyFont="1" applyProtection="1">
      <protection hidden="1"/>
    </xf>
    <xf numFmtId="0" fontId="16" fillId="0" borderId="16" xfId="0" applyFont="1" applyBorder="1" applyProtection="1">
      <protection hidden="1"/>
    </xf>
    <xf numFmtId="0" fontId="7" fillId="0" borderId="5" xfId="0" applyFont="1" applyBorder="1" applyProtection="1">
      <protection hidden="1"/>
    </xf>
    <xf numFmtId="20" fontId="7" fillId="0" borderId="5" xfId="0" applyNumberFormat="1" applyFont="1" applyBorder="1" applyProtection="1">
      <protection hidden="1"/>
    </xf>
    <xf numFmtId="20" fontId="4" fillId="0" borderId="5" xfId="0" applyNumberFormat="1" applyFont="1" applyBorder="1" applyProtection="1">
      <protection hidden="1"/>
    </xf>
    <xf numFmtId="0" fontId="0" fillId="0" borderId="5" xfId="0" applyBorder="1" applyAlignment="1" applyProtection="1">
      <alignment vertical="center"/>
      <protection hidden="1"/>
    </xf>
    <xf numFmtId="1" fontId="7" fillId="0" borderId="5" xfId="0" applyNumberFormat="1" applyFont="1" applyBorder="1" applyProtection="1">
      <protection hidden="1"/>
    </xf>
    <xf numFmtId="0" fontId="29" fillId="0" borderId="4" xfId="0" applyFont="1" applyBorder="1" applyProtection="1">
      <protection hidden="1"/>
    </xf>
    <xf numFmtId="0" fontId="7" fillId="0" borderId="1" xfId="0" applyFont="1" applyBorder="1" applyProtection="1">
      <protection hidden="1"/>
    </xf>
    <xf numFmtId="20" fontId="7" fillId="0" borderId="1" xfId="0" applyNumberFormat="1" applyFont="1" applyBorder="1" applyProtection="1">
      <protection hidden="1"/>
    </xf>
    <xf numFmtId="20" fontId="7" fillId="0" borderId="1" xfId="0" applyNumberFormat="1" applyFont="1" applyBorder="1" applyAlignment="1" applyProtection="1">
      <alignment horizontal="right"/>
      <protection hidden="1"/>
    </xf>
    <xf numFmtId="1" fontId="7" fillId="0" borderId="3" xfId="0" applyNumberFormat="1" applyFont="1" applyBorder="1" applyProtection="1">
      <protection hidden="1"/>
    </xf>
    <xf numFmtId="1" fontId="7" fillId="0" borderId="1" xfId="0" applyNumberFormat="1" applyFont="1" applyBorder="1" applyAlignment="1" applyProtection="1">
      <alignment horizontal="right"/>
      <protection hidden="1"/>
    </xf>
    <xf numFmtId="1" fontId="7" fillId="0" borderId="1" xfId="0" applyNumberFormat="1" applyFont="1" applyBorder="1" applyAlignment="1" applyProtection="1">
      <alignment horizontal="left"/>
      <protection hidden="1"/>
    </xf>
    <xf numFmtId="1" fontId="7" fillId="0" borderId="1" xfId="0" applyNumberFormat="1" applyFont="1" applyBorder="1" applyProtection="1">
      <protection hidden="1"/>
    </xf>
    <xf numFmtId="0" fontId="4" fillId="3" borderId="2" xfId="0" applyFont="1" applyFill="1" applyBorder="1" applyProtection="1">
      <protection hidden="1"/>
    </xf>
    <xf numFmtId="49" fontId="7" fillId="0" borderId="0" xfId="0" applyNumberFormat="1" applyFont="1" applyProtection="1">
      <protection hidden="1"/>
    </xf>
    <xf numFmtId="49" fontId="18" fillId="0" borderId="0" xfId="0" applyNumberFormat="1" applyFont="1" applyProtection="1">
      <protection hidden="1"/>
    </xf>
    <xf numFmtId="168" fontId="7" fillId="0" borderId="17" xfId="0" applyNumberFormat="1" applyFont="1" applyBorder="1" applyAlignment="1" applyProtection="1">
      <alignment horizontal="right"/>
      <protection hidden="1"/>
    </xf>
    <xf numFmtId="4" fontId="7" fillId="0" borderId="7" xfId="0" applyNumberFormat="1" applyFont="1" applyBorder="1" applyProtection="1">
      <protection hidden="1"/>
    </xf>
    <xf numFmtId="0" fontId="7" fillId="0" borderId="7" xfId="0" applyFont="1" applyBorder="1" applyProtection="1">
      <protection hidden="1"/>
    </xf>
    <xf numFmtId="1" fontId="7" fillId="0" borderId="18" xfId="0" applyNumberFormat="1" applyFont="1" applyBorder="1" applyProtection="1">
      <protection hidden="1"/>
    </xf>
    <xf numFmtId="1" fontId="7" fillId="0" borderId="17" xfId="0" applyNumberFormat="1" applyFont="1" applyBorder="1" applyProtection="1">
      <protection hidden="1"/>
    </xf>
    <xf numFmtId="168" fontId="7" fillId="0" borderId="6" xfId="0" applyNumberFormat="1" applyFont="1" applyBorder="1" applyAlignment="1" applyProtection="1">
      <alignment horizontal="right"/>
      <protection hidden="1"/>
    </xf>
    <xf numFmtId="4" fontId="7" fillId="0" borderId="19" xfId="0" applyNumberFormat="1" applyFont="1" applyBorder="1" applyProtection="1">
      <protection hidden="1"/>
    </xf>
    <xf numFmtId="1" fontId="15" fillId="0" borderId="0" xfId="0" applyNumberFormat="1" applyFont="1" applyProtection="1">
      <protection hidden="1"/>
    </xf>
    <xf numFmtId="49" fontId="18" fillId="0" borderId="12" xfId="0" applyNumberFormat="1" applyFont="1" applyBorder="1" applyAlignment="1" applyProtection="1">
      <alignment horizontal="center"/>
      <protection hidden="1"/>
    </xf>
    <xf numFmtId="2" fontId="33" fillId="0" borderId="12" xfId="0" applyNumberFormat="1" applyFont="1" applyBorder="1" applyProtection="1">
      <protection hidden="1"/>
    </xf>
    <xf numFmtId="20" fontId="33" fillId="0" borderId="10" xfId="0" applyNumberFormat="1" applyFont="1" applyBorder="1" applyAlignment="1" applyProtection="1">
      <alignment horizontal="center"/>
      <protection hidden="1"/>
    </xf>
    <xf numFmtId="20" fontId="33" fillId="0" borderId="12" xfId="0" applyNumberFormat="1" applyFont="1" applyBorder="1" applyAlignment="1" applyProtection="1">
      <alignment horizontal="center"/>
      <protection hidden="1"/>
    </xf>
    <xf numFmtId="2" fontId="4" fillId="0" borderId="12" xfId="0" applyNumberFormat="1" applyFont="1" applyBorder="1" applyProtection="1">
      <protection hidden="1"/>
    </xf>
    <xf numFmtId="169" fontId="4" fillId="0" borderId="0" xfId="0" applyNumberFormat="1" applyFont="1"/>
    <xf numFmtId="20" fontId="33" fillId="0" borderId="10" xfId="0" applyNumberFormat="1" applyFont="1" applyBorder="1" applyProtection="1">
      <protection hidden="1"/>
    </xf>
    <xf numFmtId="20" fontId="33" fillId="0" borderId="12" xfId="0" applyNumberFormat="1" applyFont="1" applyBorder="1" applyProtection="1">
      <protection hidden="1"/>
    </xf>
    <xf numFmtId="49" fontId="18" fillId="0" borderId="12" xfId="0" applyNumberFormat="1" applyFont="1" applyBorder="1" applyProtection="1">
      <protection hidden="1"/>
    </xf>
    <xf numFmtId="0" fontId="4" fillId="0" borderId="12" xfId="0" applyFont="1" applyBorder="1" applyProtection="1">
      <protection hidden="1"/>
    </xf>
    <xf numFmtId="164" fontId="8" fillId="0" borderId="12" xfId="0" applyNumberFormat="1" applyFont="1" applyBorder="1" applyProtection="1">
      <protection hidden="1"/>
    </xf>
    <xf numFmtId="49" fontId="33" fillId="0" borderId="12" xfId="0" applyNumberFormat="1" applyFont="1" applyBorder="1" applyAlignment="1" applyProtection="1">
      <alignment horizontal="center"/>
      <protection locked="0" hidden="1"/>
    </xf>
    <xf numFmtId="2" fontId="33" fillId="0" borderId="12" xfId="0" applyNumberFormat="1" applyFont="1" applyBorder="1" applyProtection="1">
      <protection locked="0" hidden="1"/>
    </xf>
    <xf numFmtId="49" fontId="33" fillId="0" borderId="12" xfId="0" applyNumberFormat="1" applyFont="1" applyBorder="1" applyAlignment="1" applyProtection="1">
      <alignment horizontal="center"/>
      <protection hidden="1"/>
    </xf>
    <xf numFmtId="0" fontId="33" fillId="0" borderId="12" xfId="0" applyFont="1" applyBorder="1" applyProtection="1">
      <protection hidden="1"/>
    </xf>
    <xf numFmtId="0" fontId="34" fillId="0" borderId="0" xfId="0" applyFont="1" applyAlignment="1" applyProtection="1">
      <alignment vertical="center"/>
      <protection hidden="1"/>
    </xf>
    <xf numFmtId="0" fontId="40" fillId="0" borderId="0" xfId="0" applyFont="1" applyProtection="1">
      <protection hidden="1"/>
    </xf>
    <xf numFmtId="0" fontId="41" fillId="0" borderId="0" xfId="0" applyFont="1" applyProtection="1">
      <protection hidden="1"/>
    </xf>
    <xf numFmtId="9" fontId="41" fillId="0" borderId="0" xfId="0" applyNumberFormat="1" applyFont="1" applyAlignment="1" applyProtection="1">
      <alignment horizontal="left"/>
      <protection hidden="1"/>
    </xf>
    <xf numFmtId="4" fontId="7" fillId="0" borderId="20" xfId="0" applyNumberFormat="1" applyFont="1" applyBorder="1" applyProtection="1">
      <protection hidden="1"/>
    </xf>
    <xf numFmtId="4" fontId="7" fillId="0" borderId="8" xfId="0" applyNumberFormat="1" applyFont="1" applyBorder="1" applyProtection="1">
      <protection hidden="1"/>
    </xf>
    <xf numFmtId="3" fontId="45" fillId="0" borderId="20" xfId="0" applyNumberFormat="1" applyFont="1" applyBorder="1" applyProtection="1">
      <protection hidden="1"/>
    </xf>
    <xf numFmtId="3" fontId="46" fillId="0" borderId="21" xfId="0" applyNumberFormat="1" applyFont="1" applyBorder="1" applyProtection="1">
      <protection hidden="1"/>
    </xf>
    <xf numFmtId="3" fontId="45" fillId="0" borderId="22" xfId="0" applyNumberFormat="1" applyFont="1" applyBorder="1" applyProtection="1">
      <protection hidden="1"/>
    </xf>
    <xf numFmtId="3" fontId="46" fillId="0" borderId="23" xfId="0" applyNumberFormat="1" applyFont="1" applyBorder="1" applyProtection="1">
      <protection hidden="1"/>
    </xf>
    <xf numFmtId="0" fontId="33" fillId="0" borderId="0" xfId="0" applyFont="1"/>
    <xf numFmtId="0" fontId="24" fillId="4" borderId="0" xfId="0" applyFont="1" applyFill="1" applyAlignment="1" applyProtection="1">
      <alignment horizontal="center"/>
      <protection hidden="1"/>
    </xf>
    <xf numFmtId="0" fontId="20" fillId="4" borderId="0" xfId="0" applyFont="1" applyFill="1" applyProtection="1">
      <protection hidden="1"/>
    </xf>
    <xf numFmtId="0" fontId="24" fillId="4" borderId="0" xfId="0" applyFont="1" applyFill="1" applyProtection="1">
      <protection hidden="1"/>
    </xf>
    <xf numFmtId="2" fontId="20" fillId="0" borderId="0" xfId="0" applyNumberFormat="1" applyFont="1" applyProtection="1">
      <protection hidden="1"/>
    </xf>
    <xf numFmtId="0" fontId="36" fillId="4" borderId="0" xfId="0" applyFont="1" applyFill="1" applyProtection="1">
      <protection hidden="1"/>
    </xf>
    <xf numFmtId="0" fontId="36" fillId="0" borderId="0" xfId="0" applyFont="1" applyProtection="1">
      <protection hidden="1"/>
    </xf>
    <xf numFmtId="0" fontId="7" fillId="4" borderId="0" xfId="0" applyFont="1" applyFill="1" applyProtection="1">
      <protection hidden="1"/>
    </xf>
    <xf numFmtId="0" fontId="0" fillId="4" borderId="0" xfId="0" applyFill="1" applyProtection="1">
      <protection hidden="1"/>
    </xf>
    <xf numFmtId="165" fontId="7" fillId="4" borderId="0" xfId="0" applyNumberFormat="1" applyFont="1" applyFill="1" applyProtection="1">
      <protection hidden="1"/>
    </xf>
    <xf numFmtId="0" fontId="0" fillId="0" borderId="0" xfId="0" applyProtection="1">
      <protection hidden="1"/>
    </xf>
    <xf numFmtId="0" fontId="16" fillId="4" borderId="0" xfId="0" applyFont="1" applyFill="1" applyProtection="1">
      <protection hidden="1"/>
    </xf>
    <xf numFmtId="165" fontId="17" fillId="4" borderId="0" xfId="0" applyNumberFormat="1" applyFont="1" applyFill="1" applyAlignment="1" applyProtection="1">
      <alignment horizontal="center"/>
      <protection hidden="1"/>
    </xf>
    <xf numFmtId="0" fontId="16" fillId="4" borderId="23" xfId="0" applyFont="1" applyFill="1" applyBorder="1" applyProtection="1">
      <protection hidden="1"/>
    </xf>
    <xf numFmtId="166" fontId="7" fillId="4" borderId="0" xfId="0" applyNumberFormat="1" applyFont="1" applyFill="1" applyProtection="1">
      <protection hidden="1"/>
    </xf>
    <xf numFmtId="0" fontId="2" fillId="4" borderId="23" xfId="0" applyFont="1" applyFill="1" applyBorder="1" applyProtection="1">
      <protection hidden="1"/>
    </xf>
    <xf numFmtId="0" fontId="2" fillId="0" borderId="0" xfId="0" applyFont="1" applyProtection="1">
      <protection hidden="1"/>
    </xf>
    <xf numFmtId="14" fontId="28" fillId="4" borderId="0" xfId="0" applyNumberFormat="1" applyFont="1" applyFill="1" applyProtection="1">
      <protection hidden="1"/>
    </xf>
    <xf numFmtId="0" fontId="7" fillId="4" borderId="23" xfId="0" applyFont="1" applyFill="1" applyBorder="1" applyProtection="1">
      <protection hidden="1"/>
    </xf>
    <xf numFmtId="0" fontId="0" fillId="4" borderId="23" xfId="0" applyFill="1" applyBorder="1" applyProtection="1">
      <protection hidden="1"/>
    </xf>
    <xf numFmtId="164" fontId="7" fillId="0" borderId="24" xfId="0" applyNumberFormat="1" applyFont="1" applyBorder="1" applyProtection="1">
      <protection hidden="1"/>
    </xf>
    <xf numFmtId="2" fontId="7" fillId="0" borderId="25" xfId="0" applyNumberFormat="1" applyFont="1" applyBorder="1" applyProtection="1">
      <protection hidden="1"/>
    </xf>
    <xf numFmtId="164" fontId="7" fillId="0" borderId="25" xfId="0" applyNumberFormat="1" applyFont="1" applyBorder="1" applyProtection="1">
      <protection hidden="1"/>
    </xf>
    <xf numFmtId="0" fontId="7" fillId="0" borderId="23" xfId="0" applyFont="1" applyBorder="1" applyProtection="1">
      <protection hidden="1"/>
    </xf>
    <xf numFmtId="2" fontId="7" fillId="0" borderId="11" xfId="0" applyNumberFormat="1" applyFont="1" applyBorder="1" applyProtection="1">
      <protection hidden="1"/>
    </xf>
    <xf numFmtId="2" fontId="7" fillId="0" borderId="12" xfId="0" applyNumberFormat="1" applyFont="1" applyBorder="1" applyProtection="1">
      <protection hidden="1"/>
    </xf>
    <xf numFmtId="2" fontId="7" fillId="0" borderId="6" xfId="0" applyNumberFormat="1" applyFont="1" applyBorder="1" applyProtection="1">
      <protection hidden="1"/>
    </xf>
    <xf numFmtId="2" fontId="7" fillId="0" borderId="23" xfId="0" applyNumberFormat="1" applyFont="1" applyBorder="1" applyProtection="1">
      <protection hidden="1"/>
    </xf>
    <xf numFmtId="0" fontId="33" fillId="4" borderId="0" xfId="0" applyFont="1" applyFill="1" applyProtection="1">
      <protection hidden="1"/>
    </xf>
    <xf numFmtId="2" fontId="33" fillId="4" borderId="0" xfId="0" applyNumberFormat="1" applyFont="1" applyFill="1" applyProtection="1">
      <protection hidden="1"/>
    </xf>
    <xf numFmtId="0" fontId="33" fillId="0" borderId="0" xfId="0" applyFont="1" applyProtection="1">
      <protection hidden="1"/>
    </xf>
    <xf numFmtId="0" fontId="16" fillId="4" borderId="0" xfId="0" applyFont="1" applyFill="1" applyAlignment="1" applyProtection="1">
      <alignment horizontal="center" wrapText="1"/>
      <protection hidden="1"/>
    </xf>
    <xf numFmtId="0" fontId="16" fillId="0" borderId="0" xfId="0" applyFont="1" applyAlignment="1" applyProtection="1">
      <alignment horizontal="center" wrapText="1"/>
      <protection hidden="1"/>
    </xf>
    <xf numFmtId="0" fontId="33" fillId="4" borderId="25" xfId="0" applyFont="1" applyFill="1" applyBorder="1" applyProtection="1">
      <protection hidden="1"/>
    </xf>
    <xf numFmtId="0" fontId="33" fillId="4" borderId="24" xfId="0" applyFont="1" applyFill="1" applyBorder="1" applyProtection="1">
      <protection hidden="1"/>
    </xf>
    <xf numFmtId="2" fontId="33" fillId="4" borderId="24" xfId="0" applyNumberFormat="1" applyFont="1" applyFill="1" applyBorder="1" applyProtection="1">
      <protection hidden="1"/>
    </xf>
    <xf numFmtId="2" fontId="33" fillId="0" borderId="0" xfId="0" applyNumberFormat="1" applyFont="1" applyProtection="1">
      <protection hidden="1"/>
    </xf>
    <xf numFmtId="0" fontId="24" fillId="4" borderId="0" xfId="0" applyFont="1" applyFill="1" applyProtection="1">
      <protection locked="0"/>
    </xf>
    <xf numFmtId="0" fontId="24" fillId="0" borderId="0" xfId="0" applyFont="1" applyProtection="1">
      <protection hidden="1"/>
    </xf>
    <xf numFmtId="14" fontId="4" fillId="4" borderId="26" xfId="0" applyNumberFormat="1" applyFont="1" applyFill="1" applyBorder="1" applyProtection="1">
      <protection locked="0"/>
    </xf>
    <xf numFmtId="14" fontId="4" fillId="4" borderId="27" xfId="0" applyNumberFormat="1" applyFont="1" applyFill="1" applyBorder="1" applyProtection="1">
      <protection hidden="1"/>
    </xf>
    <xf numFmtId="14" fontId="4" fillId="4" borderId="28" xfId="0" applyNumberFormat="1" applyFont="1" applyFill="1" applyBorder="1" applyProtection="1">
      <protection hidden="1"/>
    </xf>
    <xf numFmtId="14" fontId="4" fillId="4" borderId="29" xfId="0" applyNumberFormat="1" applyFont="1" applyFill="1" applyBorder="1" applyProtection="1">
      <protection hidden="1"/>
    </xf>
    <xf numFmtId="2" fontId="4" fillId="4" borderId="30" xfId="0" applyNumberFormat="1" applyFont="1" applyFill="1" applyBorder="1" applyProtection="1">
      <protection locked="0"/>
    </xf>
    <xf numFmtId="0" fontId="4" fillId="4" borderId="29" xfId="0" applyFont="1" applyFill="1" applyBorder="1" applyProtection="1">
      <protection locked="0"/>
    </xf>
    <xf numFmtId="0" fontId="4" fillId="4" borderId="31" xfId="0" applyFont="1" applyFill="1" applyBorder="1" applyProtection="1">
      <protection locked="0"/>
    </xf>
    <xf numFmtId="0" fontId="4" fillId="4" borderId="29" xfId="0" applyFont="1" applyFill="1" applyBorder="1" applyProtection="1">
      <protection hidden="1"/>
    </xf>
    <xf numFmtId="0" fontId="47" fillId="4" borderId="11" xfId="0" applyFont="1" applyFill="1" applyBorder="1" applyAlignment="1" applyProtection="1">
      <alignment horizontal="center" wrapText="1"/>
      <protection hidden="1"/>
    </xf>
    <xf numFmtId="0" fontId="47" fillId="4" borderId="12" xfId="0" applyFont="1" applyFill="1" applyBorder="1" applyAlignment="1" applyProtection="1">
      <alignment horizontal="center" wrapText="1"/>
      <protection hidden="1"/>
    </xf>
    <xf numFmtId="2" fontId="47" fillId="4" borderId="12" xfId="0" applyNumberFormat="1" applyFont="1" applyFill="1" applyBorder="1" applyAlignment="1" applyProtection="1">
      <alignment horizontal="center" wrapText="1"/>
      <protection hidden="1"/>
    </xf>
    <xf numFmtId="165" fontId="48" fillId="4" borderId="0" xfId="0" applyNumberFormat="1" applyFont="1" applyFill="1" applyAlignment="1" applyProtection="1">
      <alignment horizontal="center"/>
      <protection hidden="1"/>
    </xf>
    <xf numFmtId="0" fontId="7" fillId="0" borderId="0" xfId="0" applyFont="1"/>
    <xf numFmtId="0" fontId="15" fillId="0" borderId="32" xfId="0" applyFont="1" applyBorder="1" applyAlignment="1" applyProtection="1">
      <alignment vertical="center"/>
      <protection hidden="1"/>
    </xf>
    <xf numFmtId="0" fontId="0" fillId="0" borderId="33" xfId="0" applyBorder="1" applyAlignment="1">
      <alignment vertical="center"/>
    </xf>
    <xf numFmtId="0" fontId="32" fillId="0" borderId="33" xfId="0" applyFont="1" applyBorder="1" applyAlignment="1" applyProtection="1">
      <alignment vertical="center"/>
      <protection hidden="1"/>
    </xf>
    <xf numFmtId="1" fontId="43" fillId="0" borderId="33" xfId="0" applyNumberFormat="1" applyFont="1" applyBorder="1" applyAlignment="1" applyProtection="1">
      <alignment vertical="center"/>
      <protection hidden="1"/>
    </xf>
    <xf numFmtId="0" fontId="44" fillId="0" borderId="34" xfId="0" applyFont="1" applyBorder="1" applyAlignment="1" applyProtection="1">
      <alignment horizontal="center" vertical="center"/>
      <protection hidden="1"/>
    </xf>
    <xf numFmtId="0" fontId="32" fillId="0" borderId="0" xfId="0" applyFont="1" applyAlignment="1">
      <alignment vertical="center"/>
    </xf>
    <xf numFmtId="0" fontId="7" fillId="0" borderId="0" xfId="0" applyFont="1" applyAlignment="1">
      <alignment horizontal="left" textRotation="90"/>
    </xf>
    <xf numFmtId="0" fontId="18" fillId="0" borderId="0" xfId="0" applyFont="1" applyAlignment="1">
      <alignment horizontal="right"/>
    </xf>
    <xf numFmtId="2" fontId="7" fillId="0" borderId="0" xfId="0" applyNumberFormat="1" applyFont="1"/>
    <xf numFmtId="0" fontId="29" fillId="0" borderId="0" xfId="0" applyFont="1" applyAlignment="1" applyProtection="1">
      <alignment horizontal="right"/>
      <protection hidden="1"/>
    </xf>
    <xf numFmtId="0" fontId="13" fillId="0" borderId="0" xfId="0" applyFont="1" applyAlignment="1">
      <alignment horizontal="left" textRotation="90"/>
    </xf>
    <xf numFmtId="20" fontId="7" fillId="0" borderId="0" xfId="0" applyNumberFormat="1" applyFont="1"/>
    <xf numFmtId="167" fontId="7" fillId="0" borderId="0" xfId="0" applyNumberFormat="1" applyFont="1"/>
    <xf numFmtId="170" fontId="9" fillId="0" borderId="10" xfId="0" applyNumberFormat="1" applyFont="1" applyBorder="1" applyAlignment="1" applyProtection="1">
      <alignment horizontal="center"/>
      <protection hidden="1"/>
    </xf>
    <xf numFmtId="164" fontId="30" fillId="0" borderId="30" xfId="0" applyNumberFormat="1" applyFont="1" applyBorder="1" applyProtection="1">
      <protection hidden="1"/>
    </xf>
    <xf numFmtId="0" fontId="30" fillId="0" borderId="35" xfId="0" applyFont="1" applyBorder="1" applyProtection="1">
      <protection hidden="1"/>
    </xf>
    <xf numFmtId="2" fontId="22" fillId="0" borderId="30" xfId="0" applyNumberFormat="1" applyFont="1" applyBorder="1" applyProtection="1">
      <protection hidden="1"/>
    </xf>
    <xf numFmtId="20" fontId="33" fillId="0" borderId="35" xfId="0" applyNumberFormat="1" applyFont="1" applyBorder="1" applyAlignment="1" applyProtection="1">
      <alignment horizontal="center"/>
      <protection locked="0" hidden="1"/>
    </xf>
    <xf numFmtId="49" fontId="33" fillId="0" borderId="30" xfId="0" applyNumberFormat="1" applyFont="1" applyBorder="1" applyAlignment="1" applyProtection="1">
      <alignment horizontal="center"/>
      <protection locked="0" hidden="1"/>
    </xf>
    <xf numFmtId="2" fontId="33" fillId="0" borderId="30" xfId="0" applyNumberFormat="1" applyFont="1" applyBorder="1" applyProtection="1">
      <protection locked="0" hidden="1"/>
    </xf>
    <xf numFmtId="1" fontId="33" fillId="0" borderId="30" xfId="0" applyNumberFormat="1" applyFont="1" applyBorder="1" applyProtection="1">
      <protection hidden="1"/>
    </xf>
    <xf numFmtId="2" fontId="33" fillId="0" borderId="30" xfId="0" applyNumberFormat="1" applyFont="1" applyBorder="1" applyProtection="1">
      <protection hidden="1"/>
    </xf>
    <xf numFmtId="164" fontId="30" fillId="5" borderId="30" xfId="0" applyNumberFormat="1" applyFont="1" applyFill="1" applyBorder="1" applyProtection="1">
      <protection hidden="1"/>
    </xf>
    <xf numFmtId="0" fontId="30" fillId="5" borderId="35" xfId="0" applyFont="1" applyFill="1" applyBorder="1" applyProtection="1">
      <protection hidden="1"/>
    </xf>
    <xf numFmtId="2" fontId="22" fillId="5" borderId="30" xfId="0" applyNumberFormat="1" applyFont="1" applyFill="1" applyBorder="1" applyProtection="1">
      <protection hidden="1"/>
    </xf>
    <xf numFmtId="20" fontId="33" fillId="5" borderId="35" xfId="0" applyNumberFormat="1" applyFont="1" applyFill="1" applyBorder="1" applyAlignment="1" applyProtection="1">
      <alignment horizontal="center"/>
      <protection locked="0" hidden="1"/>
    </xf>
    <xf numFmtId="49" fontId="33" fillId="5" borderId="30" xfId="0" applyNumberFormat="1" applyFont="1" applyFill="1" applyBorder="1" applyAlignment="1" applyProtection="1">
      <alignment horizontal="center"/>
      <protection locked="0" hidden="1"/>
    </xf>
    <xf numFmtId="2" fontId="33" fillId="5" borderId="30" xfId="0" applyNumberFormat="1" applyFont="1" applyFill="1" applyBorder="1" applyProtection="1">
      <protection locked="0" hidden="1"/>
    </xf>
    <xf numFmtId="1" fontId="33" fillId="5" borderId="30" xfId="0" applyNumberFormat="1" applyFont="1" applyFill="1" applyBorder="1" applyProtection="1">
      <protection hidden="1"/>
    </xf>
    <xf numFmtId="2" fontId="33" fillId="5" borderId="30" xfId="0" applyNumberFormat="1" applyFont="1" applyFill="1" applyBorder="1" applyProtection="1">
      <protection hidden="1"/>
    </xf>
    <xf numFmtId="2" fontId="7" fillId="5" borderId="36" xfId="0" applyNumberFormat="1" applyFont="1" applyFill="1" applyBorder="1" applyProtection="1">
      <protection hidden="1"/>
    </xf>
    <xf numFmtId="2" fontId="7" fillId="0" borderId="37" xfId="0" applyNumberFormat="1" applyFont="1" applyBorder="1" applyProtection="1">
      <protection hidden="1"/>
    </xf>
    <xf numFmtId="2" fontId="22" fillId="0" borderId="38" xfId="0" applyNumberFormat="1" applyFont="1" applyBorder="1" applyProtection="1">
      <protection hidden="1"/>
    </xf>
    <xf numFmtId="1" fontId="33" fillId="0" borderId="38" xfId="0" applyNumberFormat="1" applyFont="1" applyBorder="1" applyProtection="1">
      <protection hidden="1"/>
    </xf>
    <xf numFmtId="2" fontId="33" fillId="0" borderId="38" xfId="0" applyNumberFormat="1" applyFont="1" applyBorder="1" applyProtection="1">
      <protection hidden="1"/>
    </xf>
    <xf numFmtId="20" fontId="33" fillId="5" borderId="30" xfId="0" applyNumberFormat="1" applyFont="1" applyFill="1" applyBorder="1" applyAlignment="1" applyProtection="1">
      <alignment horizontal="center"/>
      <protection locked="0" hidden="1"/>
    </xf>
    <xf numFmtId="0" fontId="33" fillId="5" borderId="30" xfId="0" applyFont="1" applyFill="1" applyBorder="1" applyProtection="1">
      <protection locked="0" hidden="1"/>
    </xf>
    <xf numFmtId="20" fontId="33" fillId="0" borderId="30" xfId="0" applyNumberFormat="1" applyFont="1" applyBorder="1" applyAlignment="1" applyProtection="1">
      <alignment horizontal="center"/>
      <protection locked="0" hidden="1"/>
    </xf>
    <xf numFmtId="0" fontId="33" fillId="0" borderId="30" xfId="0" applyFont="1" applyBorder="1" applyProtection="1">
      <protection locked="0" hidden="1"/>
    </xf>
    <xf numFmtId="20" fontId="33" fillId="0" borderId="35" xfId="0" applyNumberFormat="1" applyFont="1" applyBorder="1" applyAlignment="1" applyProtection="1">
      <alignment horizontal="center"/>
      <protection hidden="1"/>
    </xf>
    <xf numFmtId="20" fontId="33" fillId="0" borderId="30" xfId="0" applyNumberFormat="1" applyFont="1" applyBorder="1" applyAlignment="1" applyProtection="1">
      <alignment horizontal="center"/>
      <protection hidden="1"/>
    </xf>
    <xf numFmtId="49" fontId="33" fillId="0" borderId="30" xfId="0" applyNumberFormat="1" applyFont="1" applyBorder="1" applyAlignment="1" applyProtection="1">
      <alignment horizontal="center"/>
      <protection hidden="1"/>
    </xf>
    <xf numFmtId="0" fontId="33" fillId="0" borderId="30" xfId="0" applyFont="1" applyBorder="1" applyProtection="1">
      <protection hidden="1"/>
    </xf>
    <xf numFmtId="164" fontId="30" fillId="0" borderId="39" xfId="0" applyNumberFormat="1" applyFont="1" applyBorder="1" applyProtection="1">
      <protection hidden="1"/>
    </xf>
    <xf numFmtId="0" fontId="30" fillId="0" borderId="40" xfId="0" applyFont="1" applyBorder="1" applyProtection="1">
      <protection hidden="1"/>
    </xf>
    <xf numFmtId="20" fontId="33" fillId="0" borderId="40" xfId="0" applyNumberFormat="1" applyFont="1" applyBorder="1" applyAlignment="1" applyProtection="1">
      <alignment horizontal="center"/>
      <protection hidden="1"/>
    </xf>
    <xf numFmtId="20" fontId="33" fillId="0" borderId="39" xfId="0" applyNumberFormat="1" applyFont="1" applyBorder="1" applyAlignment="1" applyProtection="1">
      <alignment horizontal="center"/>
      <protection hidden="1"/>
    </xf>
    <xf numFmtId="49" fontId="33" fillId="0" borderId="39" xfId="0" applyNumberFormat="1" applyFont="1" applyBorder="1" applyAlignment="1" applyProtection="1">
      <alignment horizontal="center"/>
      <protection hidden="1"/>
    </xf>
    <xf numFmtId="0" fontId="33" fillId="0" borderId="39" xfId="0" applyFont="1" applyBorder="1" applyProtection="1">
      <protection hidden="1"/>
    </xf>
    <xf numFmtId="164" fontId="30" fillId="0" borderId="38" xfId="0" applyNumberFormat="1" applyFont="1" applyBorder="1" applyProtection="1">
      <protection hidden="1"/>
    </xf>
    <xf numFmtId="0" fontId="30" fillId="0" borderId="38" xfId="0" applyFont="1" applyBorder="1" applyProtection="1">
      <protection hidden="1"/>
    </xf>
    <xf numFmtId="0" fontId="30" fillId="5" borderId="30" xfId="0" applyFont="1" applyFill="1" applyBorder="1" applyProtection="1">
      <protection hidden="1"/>
    </xf>
    <xf numFmtId="0" fontId="30" fillId="0" borderId="30" xfId="0" applyFont="1" applyBorder="1" applyProtection="1">
      <protection hidden="1"/>
    </xf>
    <xf numFmtId="2" fontId="22" fillId="0" borderId="39" xfId="0" applyNumberFormat="1" applyFont="1" applyBorder="1" applyProtection="1">
      <protection hidden="1"/>
    </xf>
    <xf numFmtId="20" fontId="33" fillId="0" borderId="40" xfId="0" applyNumberFormat="1" applyFont="1" applyBorder="1" applyAlignment="1" applyProtection="1">
      <alignment horizontal="center"/>
      <protection locked="0" hidden="1"/>
    </xf>
    <xf numFmtId="2" fontId="33" fillId="0" borderId="39" xfId="0" applyNumberFormat="1" applyFont="1" applyBorder="1" applyProtection="1">
      <protection locked="0" hidden="1"/>
    </xf>
    <xf numFmtId="10" fontId="7" fillId="0" borderId="0" xfId="2" applyNumberFormat="1" applyFont="1" applyFill="1" applyBorder="1" applyAlignment="1" applyProtection="1">
      <protection hidden="1"/>
    </xf>
    <xf numFmtId="0" fontId="33" fillId="4" borderId="0" xfId="0" applyFont="1" applyFill="1" applyAlignment="1" applyProtection="1">
      <alignment horizontal="right"/>
      <protection hidden="1"/>
    </xf>
    <xf numFmtId="0" fontId="24" fillId="4" borderId="0" xfId="0" applyFont="1" applyFill="1" applyAlignment="1" applyProtection="1">
      <alignment horizontal="right"/>
      <protection hidden="1"/>
    </xf>
    <xf numFmtId="0" fontId="16" fillId="4" borderId="0" xfId="0" applyFont="1" applyFill="1" applyAlignment="1" applyProtection="1">
      <alignment horizontal="right" wrapText="1"/>
      <protection hidden="1"/>
    </xf>
    <xf numFmtId="0" fontId="33" fillId="0" borderId="0" xfId="0" applyFont="1" applyAlignment="1" applyProtection="1">
      <alignment horizontal="right"/>
      <protection hidden="1"/>
    </xf>
    <xf numFmtId="0" fontId="4" fillId="4" borderId="0" xfId="0" applyFont="1" applyFill="1" applyAlignment="1">
      <alignment horizontal="right"/>
    </xf>
    <xf numFmtId="0" fontId="59" fillId="4" borderId="0" xfId="0" applyFont="1" applyFill="1"/>
    <xf numFmtId="0" fontId="15" fillId="0" borderId="0" xfId="0" applyFont="1"/>
    <xf numFmtId="0" fontId="16" fillId="0" borderId="0" xfId="0" applyFont="1"/>
    <xf numFmtId="0" fontId="29" fillId="0" borderId="0" xfId="0" applyFont="1"/>
    <xf numFmtId="0" fontId="16" fillId="0" borderId="0" xfId="0" quotePrefix="1" applyFont="1"/>
    <xf numFmtId="0" fontId="7" fillId="0" borderId="25" xfId="0" applyFont="1" applyBorder="1"/>
    <xf numFmtId="0" fontId="15" fillId="0" borderId="0" xfId="0" applyFont="1" applyAlignment="1">
      <alignment vertical="center"/>
    </xf>
    <xf numFmtId="0" fontId="15" fillId="0" borderId="25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25" xfId="0" applyFont="1" applyBorder="1" applyAlignment="1">
      <alignment vertical="center"/>
    </xf>
    <xf numFmtId="0" fontId="16" fillId="0" borderId="0" xfId="0" quotePrefix="1" applyFont="1" applyAlignment="1">
      <alignment vertical="center"/>
    </xf>
    <xf numFmtId="0" fontId="8" fillId="6" borderId="19" xfId="0" applyFont="1" applyFill="1" applyBorder="1" applyProtection="1">
      <protection hidden="1"/>
    </xf>
    <xf numFmtId="0" fontId="9" fillId="6" borderId="19" xfId="0" applyFont="1" applyFill="1" applyBorder="1" applyProtection="1">
      <protection hidden="1"/>
    </xf>
    <xf numFmtId="0" fontId="10" fillId="6" borderId="19" xfId="0" applyFont="1" applyFill="1" applyBorder="1" applyProtection="1">
      <protection hidden="1"/>
    </xf>
    <xf numFmtId="9" fontId="9" fillId="6" borderId="19" xfId="0" applyNumberFormat="1" applyFont="1" applyFill="1" applyBorder="1" applyAlignment="1" applyProtection="1">
      <alignment horizontal="center"/>
      <protection hidden="1"/>
    </xf>
    <xf numFmtId="0" fontId="8" fillId="6" borderId="19" xfId="0" applyFont="1" applyFill="1" applyBorder="1" applyAlignment="1" applyProtection="1">
      <alignment horizontal="left"/>
      <protection hidden="1"/>
    </xf>
    <xf numFmtId="0" fontId="12" fillId="6" borderId="24" xfId="0" applyFont="1" applyFill="1" applyBorder="1" applyProtection="1">
      <protection hidden="1"/>
    </xf>
    <xf numFmtId="2" fontId="11" fillId="6" borderId="24" xfId="0" applyNumberFormat="1" applyFont="1" applyFill="1" applyBorder="1" applyProtection="1">
      <protection hidden="1"/>
    </xf>
    <xf numFmtId="20" fontId="12" fillId="6" borderId="24" xfId="0" applyNumberFormat="1" applyFont="1" applyFill="1" applyBorder="1" applyProtection="1">
      <protection hidden="1"/>
    </xf>
    <xf numFmtId="167" fontId="12" fillId="6" borderId="24" xfId="0" applyNumberFormat="1" applyFont="1" applyFill="1" applyBorder="1" applyProtection="1">
      <protection hidden="1"/>
    </xf>
    <xf numFmtId="0" fontId="12" fillId="6" borderId="24" xfId="0" applyFont="1" applyFill="1" applyBorder="1" applyAlignment="1" applyProtection="1">
      <alignment horizontal="left"/>
      <protection hidden="1"/>
    </xf>
    <xf numFmtId="0" fontId="21" fillId="6" borderId="24" xfId="0" applyFont="1" applyFill="1" applyBorder="1" applyProtection="1">
      <protection hidden="1"/>
    </xf>
    <xf numFmtId="20" fontId="12" fillId="6" borderId="0" xfId="0" applyNumberFormat="1" applyFont="1" applyFill="1" applyProtection="1">
      <protection hidden="1"/>
    </xf>
    <xf numFmtId="20" fontId="12" fillId="6" borderId="21" xfId="0" applyNumberFormat="1" applyFont="1" applyFill="1" applyBorder="1" applyProtection="1">
      <protection hidden="1"/>
    </xf>
    <xf numFmtId="167" fontId="35" fillId="6" borderId="25" xfId="0" quotePrefix="1" applyNumberFormat="1" applyFont="1" applyFill="1" applyBorder="1" applyAlignment="1" applyProtection="1">
      <alignment horizontal="center"/>
      <protection hidden="1"/>
    </xf>
    <xf numFmtId="20" fontId="38" fillId="6" borderId="21" xfId="0" applyNumberFormat="1" applyFont="1" applyFill="1" applyBorder="1" applyAlignment="1" applyProtection="1">
      <alignment horizontal="center"/>
      <protection hidden="1"/>
    </xf>
    <xf numFmtId="0" fontId="35" fillId="6" borderId="24" xfId="0" applyFont="1" applyFill="1" applyBorder="1" applyAlignment="1" applyProtection="1">
      <alignment horizontal="left"/>
      <protection hidden="1"/>
    </xf>
    <xf numFmtId="1" fontId="12" fillId="6" borderId="19" xfId="0" applyNumberFormat="1" applyFont="1" applyFill="1" applyBorder="1" applyProtection="1">
      <protection hidden="1"/>
    </xf>
    <xf numFmtId="1" fontId="12" fillId="6" borderId="6" xfId="0" applyNumberFormat="1" applyFont="1" applyFill="1" applyBorder="1" applyProtection="1">
      <protection hidden="1"/>
    </xf>
    <xf numFmtId="1" fontId="38" fillId="6" borderId="24" xfId="0" applyNumberFormat="1" applyFont="1" applyFill="1" applyBorder="1" applyProtection="1">
      <protection hidden="1"/>
    </xf>
    <xf numFmtId="0" fontId="8" fillId="6" borderId="0" xfId="0" applyFont="1" applyFill="1" applyProtection="1">
      <protection hidden="1"/>
    </xf>
    <xf numFmtId="0" fontId="37" fillId="6" borderId="6" xfId="0" applyFont="1" applyFill="1" applyBorder="1" applyProtection="1">
      <protection hidden="1"/>
    </xf>
    <xf numFmtId="0" fontId="60" fillId="0" borderId="0" xfId="0" applyFont="1"/>
    <xf numFmtId="0" fontId="2" fillId="4" borderId="0" xfId="0" applyFont="1" applyFill="1" applyProtection="1">
      <protection hidden="1"/>
    </xf>
    <xf numFmtId="2" fontId="7" fillId="4" borderId="23" xfId="0" applyNumberFormat="1" applyFont="1" applyFill="1" applyBorder="1" applyProtection="1">
      <protection hidden="1"/>
    </xf>
    <xf numFmtId="0" fontId="7" fillId="4" borderId="25" xfId="0" applyFont="1" applyFill="1" applyBorder="1" applyProtection="1">
      <protection hidden="1"/>
    </xf>
    <xf numFmtId="0" fontId="33" fillId="4" borderId="0" xfId="0" quotePrefix="1" applyFont="1" applyFill="1" applyProtection="1">
      <protection hidden="1"/>
    </xf>
    <xf numFmtId="0" fontId="24" fillId="0" borderId="0" xfId="0" applyFont="1" applyAlignment="1" applyProtection="1">
      <alignment horizontal="left"/>
      <protection hidden="1"/>
    </xf>
    <xf numFmtId="0" fontId="24" fillId="0" borderId="0" xfId="0" applyFont="1" applyAlignment="1" applyProtection="1">
      <alignment horizontal="right"/>
      <protection hidden="1"/>
    </xf>
    <xf numFmtId="0" fontId="4" fillId="0" borderId="0" xfId="0" applyFont="1" applyAlignment="1" applyProtection="1">
      <alignment horizontal="left"/>
      <protection hidden="1"/>
    </xf>
    <xf numFmtId="0" fontId="4" fillId="0" borderId="0" xfId="0" applyFont="1" applyAlignment="1" applyProtection="1">
      <alignment horizontal="left" textRotation="90"/>
      <protection hidden="1"/>
    </xf>
    <xf numFmtId="0" fontId="52" fillId="0" borderId="0" xfId="0" applyFont="1" applyAlignment="1" applyProtection="1">
      <alignment horizontal="left"/>
      <protection hidden="1"/>
    </xf>
    <xf numFmtId="0" fontId="18" fillId="0" borderId="0" xfId="0" applyFont="1" applyProtection="1">
      <protection hidden="1"/>
    </xf>
    <xf numFmtId="0" fontId="40" fillId="0" borderId="0" xfId="0" applyFont="1" applyAlignment="1" applyProtection="1">
      <alignment horizontal="right"/>
      <protection hidden="1"/>
    </xf>
    <xf numFmtId="0" fontId="33" fillId="0" borderId="41" xfId="0" applyFont="1" applyBorder="1" applyProtection="1">
      <protection hidden="1"/>
    </xf>
    <xf numFmtId="2" fontId="18" fillId="0" borderId="0" xfId="0" applyNumberFormat="1" applyFont="1" applyProtection="1">
      <protection hidden="1"/>
    </xf>
    <xf numFmtId="1" fontId="53" fillId="0" borderId="0" xfId="0" applyNumberFormat="1" applyFont="1" applyProtection="1">
      <protection hidden="1"/>
    </xf>
    <xf numFmtId="0" fontId="33" fillId="0" borderId="0" xfId="0" quotePrefix="1" applyFont="1" applyAlignment="1" applyProtection="1">
      <alignment horizontal="left"/>
      <protection hidden="1"/>
    </xf>
    <xf numFmtId="0" fontId="33" fillId="0" borderId="0" xfId="0" applyFont="1" applyAlignment="1" applyProtection="1">
      <alignment horizontal="left"/>
      <protection hidden="1"/>
    </xf>
    <xf numFmtId="14" fontId="58" fillId="0" borderId="0" xfId="0" applyNumberFormat="1" applyFont="1" applyAlignment="1" applyProtection="1">
      <alignment horizontal="left"/>
      <protection hidden="1"/>
    </xf>
    <xf numFmtId="14" fontId="33" fillId="0" borderId="0" xfId="0" applyNumberFormat="1" applyFont="1" applyAlignment="1" applyProtection="1">
      <alignment horizontal="right"/>
      <protection hidden="1"/>
    </xf>
    <xf numFmtId="0" fontId="18" fillId="0" borderId="0" xfId="0" applyFont="1" applyAlignment="1" applyProtection="1">
      <alignment horizontal="center" textRotation="90"/>
      <protection hidden="1"/>
    </xf>
    <xf numFmtId="0" fontId="0" fillId="0" borderId="0" xfId="0" applyAlignment="1" applyProtection="1">
      <alignment horizontal="left" textRotation="90"/>
      <protection hidden="1"/>
    </xf>
    <xf numFmtId="0" fontId="59" fillId="0" borderId="0" xfId="0" applyFont="1" applyAlignment="1" applyProtection="1">
      <alignment horizontal="left"/>
      <protection hidden="1"/>
    </xf>
    <xf numFmtId="0" fontId="7" fillId="0" borderId="0" xfId="0" applyFont="1" applyAlignment="1" applyProtection="1">
      <alignment horizontal="left"/>
      <protection hidden="1"/>
    </xf>
    <xf numFmtId="2" fontId="59" fillId="0" borderId="0" xfId="0" applyNumberFormat="1" applyFont="1" applyAlignment="1" applyProtection="1">
      <alignment horizontal="left"/>
      <protection hidden="1"/>
    </xf>
    <xf numFmtId="0" fontId="18" fillId="0" borderId="0" xfId="0" applyFont="1" applyAlignment="1" applyProtection="1">
      <alignment horizontal="left"/>
      <protection hidden="1"/>
    </xf>
    <xf numFmtId="0" fontId="10" fillId="0" borderId="11" xfId="0" applyFont="1" applyBorder="1"/>
    <xf numFmtId="0" fontId="9" fillId="0" borderId="7" xfId="0" applyFont="1" applyBorder="1" applyProtection="1">
      <protection hidden="1"/>
    </xf>
    <xf numFmtId="14" fontId="20" fillId="0" borderId="0" xfId="0" applyNumberFormat="1" applyFont="1" applyProtection="1">
      <protection hidden="1"/>
    </xf>
    <xf numFmtId="0" fontId="54" fillId="0" borderId="0" xfId="0" applyFont="1" applyAlignment="1" applyProtection="1">
      <alignment horizontal="left" textRotation="90"/>
      <protection hidden="1"/>
    </xf>
    <xf numFmtId="0" fontId="7" fillId="0" borderId="0" xfId="0" applyFont="1" applyAlignment="1" applyProtection="1">
      <alignment textRotation="90"/>
      <protection hidden="1"/>
    </xf>
    <xf numFmtId="0" fontId="0" fillId="0" borderId="0" xfId="0" applyAlignment="1" applyProtection="1">
      <alignment textRotation="90"/>
      <protection hidden="1"/>
    </xf>
    <xf numFmtId="0" fontId="20" fillId="4" borderId="0" xfId="0" applyFont="1" applyFill="1" applyAlignment="1" applyProtection="1">
      <alignment horizontal="right"/>
      <protection hidden="1"/>
    </xf>
    <xf numFmtId="0" fontId="18" fillId="0" borderId="0" xfId="0" applyFont="1" applyAlignment="1">
      <alignment horizontal="left"/>
    </xf>
    <xf numFmtId="0" fontId="5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2" fillId="0" borderId="0" xfId="0" applyFont="1"/>
    <xf numFmtId="0" fontId="3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1" fontId="53" fillId="6" borderId="0" xfId="0" applyNumberFormat="1" applyFont="1" applyFill="1" applyAlignment="1" applyProtection="1">
      <alignment horizontal="right"/>
      <protection locked="0" hidden="1"/>
    </xf>
    <xf numFmtId="1" fontId="53" fillId="6" borderId="0" xfId="0" applyNumberFormat="1" applyFont="1" applyFill="1" applyProtection="1">
      <protection locked="0" hidden="1"/>
    </xf>
    <xf numFmtId="0" fontId="33" fillId="6" borderId="42" xfId="0" applyFont="1" applyFill="1" applyBorder="1" applyProtection="1">
      <protection hidden="1"/>
    </xf>
    <xf numFmtId="170" fontId="53" fillId="5" borderId="15" xfId="0" applyNumberFormat="1" applyFont="1" applyFill="1" applyBorder="1" applyAlignment="1" applyProtection="1">
      <alignment horizontal="left"/>
      <protection locked="0" hidden="1"/>
    </xf>
    <xf numFmtId="168" fontId="61" fillId="0" borderId="7" xfId="0" applyNumberFormat="1" applyFont="1" applyBorder="1" applyAlignment="1" applyProtection="1">
      <alignment horizontal="center"/>
      <protection hidden="1"/>
    </xf>
    <xf numFmtId="0" fontId="12" fillId="0" borderId="4" xfId="0" applyFont="1" applyBorder="1" applyProtection="1">
      <protection hidden="1"/>
    </xf>
    <xf numFmtId="1" fontId="43" fillId="0" borderId="0" xfId="0" applyNumberFormat="1" applyFont="1" applyAlignment="1" applyProtection="1">
      <alignment vertical="center"/>
      <protection hidden="1"/>
    </xf>
    <xf numFmtId="0" fontId="44" fillId="0" borderId="25" xfId="0" applyFont="1" applyBorder="1" applyAlignment="1" applyProtection="1">
      <alignment horizontal="center" vertical="center"/>
      <protection hidden="1"/>
    </xf>
    <xf numFmtId="171" fontId="7" fillId="5" borderId="37" xfId="0" applyNumberFormat="1" applyFont="1" applyFill="1" applyBorder="1" applyProtection="1">
      <protection hidden="1"/>
    </xf>
    <xf numFmtId="171" fontId="7" fillId="0" borderId="37" xfId="0" applyNumberFormat="1" applyFont="1" applyBorder="1" applyProtection="1">
      <protection hidden="1"/>
    </xf>
    <xf numFmtId="171" fontId="53" fillId="6" borderId="0" xfId="0" applyNumberFormat="1" applyFont="1" applyFill="1" applyAlignment="1" applyProtection="1">
      <alignment horizontal="right"/>
      <protection locked="0" hidden="1"/>
    </xf>
    <xf numFmtId="20" fontId="33" fillId="0" borderId="38" xfId="0" applyNumberFormat="1" applyFont="1" applyBorder="1" applyAlignment="1" applyProtection="1">
      <alignment horizontal="center"/>
      <protection hidden="1"/>
    </xf>
    <xf numFmtId="20" fontId="33" fillId="5" borderId="30" xfId="0" applyNumberFormat="1" applyFont="1" applyFill="1" applyBorder="1" applyAlignment="1" applyProtection="1">
      <alignment horizontal="center"/>
      <protection hidden="1"/>
    </xf>
    <xf numFmtId="49" fontId="33" fillId="5" borderId="30" xfId="0" applyNumberFormat="1" applyFont="1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18" fillId="0" borderId="0" xfId="0" applyFont="1" applyAlignment="1" applyProtection="1">
      <alignment horizontal="center"/>
      <protection hidden="1"/>
    </xf>
    <xf numFmtId="0" fontId="18" fillId="0" borderId="0" xfId="0" applyFont="1" applyAlignment="1" applyProtection="1">
      <alignment horizontal="right"/>
      <protection hidden="1"/>
    </xf>
    <xf numFmtId="0" fontId="33" fillId="0" borderId="0" xfId="0" applyFont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hidden="1"/>
    </xf>
    <xf numFmtId="2" fontId="7" fillId="0" borderId="0" xfId="0" applyNumberFormat="1" applyFont="1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10" fillId="0" borderId="0" xfId="0" applyFont="1" applyAlignment="1" applyProtection="1">
      <alignment horizontal="center"/>
      <protection hidden="1"/>
    </xf>
    <xf numFmtId="0" fontId="10" fillId="0" borderId="11" xfId="0" applyFont="1" applyBorder="1" applyProtection="1">
      <protection hidden="1"/>
    </xf>
    <xf numFmtId="0" fontId="10" fillId="0" borderId="0" xfId="0" applyFont="1" applyProtection="1">
      <protection hidden="1"/>
    </xf>
    <xf numFmtId="0" fontId="5" fillId="0" borderId="0" xfId="0" applyFont="1" applyAlignment="1" applyProtection="1">
      <alignment horizontal="left"/>
      <protection hidden="1"/>
    </xf>
    <xf numFmtId="0" fontId="29" fillId="0" borderId="0" xfId="0" applyFont="1" applyAlignment="1" applyProtection="1">
      <alignment horizontal="left"/>
      <protection hidden="1"/>
    </xf>
    <xf numFmtId="0" fontId="12" fillId="0" borderId="0" xfId="0" applyFont="1" applyProtection="1">
      <protection hidden="1"/>
    </xf>
    <xf numFmtId="0" fontId="29" fillId="0" borderId="25" xfId="0" applyFont="1" applyBorder="1" applyAlignment="1" applyProtection="1">
      <alignment horizontal="center" vertical="center"/>
      <protection hidden="1"/>
    </xf>
    <xf numFmtId="0" fontId="12" fillId="0" borderId="21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0" fillId="0" borderId="21" xfId="0" applyBorder="1" applyAlignment="1" applyProtection="1">
      <alignment horizontal="center" vertical="center"/>
      <protection hidden="1"/>
    </xf>
    <xf numFmtId="0" fontId="32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56" fillId="0" borderId="0" xfId="0" applyFont="1" applyAlignment="1" applyProtection="1">
      <alignment vertical="center"/>
      <protection hidden="1"/>
    </xf>
    <xf numFmtId="0" fontId="57" fillId="0" borderId="0" xfId="0" applyFont="1" applyProtection="1">
      <protection hidden="1"/>
    </xf>
    <xf numFmtId="0" fontId="29" fillId="0" borderId="25" xfId="0" applyFont="1" applyBorder="1" applyAlignment="1" applyProtection="1">
      <alignment horizontal="center"/>
      <protection hidden="1"/>
    </xf>
    <xf numFmtId="0" fontId="3" fillId="0" borderId="0" xfId="0" applyFont="1" applyProtection="1">
      <protection hidden="1"/>
    </xf>
    <xf numFmtId="0" fontId="13" fillId="0" borderId="0" xfId="0" applyFont="1" applyAlignment="1" applyProtection="1">
      <alignment horizontal="left" textRotation="90"/>
      <protection hidden="1"/>
    </xf>
    <xf numFmtId="0" fontId="16" fillId="0" borderId="14" xfId="0" applyFont="1" applyBorder="1" applyProtection="1">
      <protection hidden="1"/>
    </xf>
    <xf numFmtId="20" fontId="16" fillId="0" borderId="43" xfId="0" applyNumberFormat="1" applyFont="1" applyBorder="1" applyProtection="1">
      <protection hidden="1"/>
    </xf>
    <xf numFmtId="20" fontId="16" fillId="0" borderId="14" xfId="0" applyNumberFormat="1" applyFont="1" applyBorder="1" applyProtection="1">
      <protection hidden="1"/>
    </xf>
    <xf numFmtId="20" fontId="4" fillId="0" borderId="14" xfId="0" applyNumberFormat="1" applyFont="1" applyBorder="1" applyProtection="1">
      <protection hidden="1"/>
    </xf>
    <xf numFmtId="167" fontId="4" fillId="0" borderId="14" xfId="0" applyNumberFormat="1" applyFont="1" applyBorder="1" applyProtection="1">
      <protection hidden="1"/>
    </xf>
    <xf numFmtId="0" fontId="4" fillId="0" borderId="14" xfId="0" applyFont="1" applyBorder="1" applyProtection="1">
      <protection hidden="1"/>
    </xf>
    <xf numFmtId="1" fontId="4" fillId="0" borderId="14" xfId="0" applyNumberFormat="1" applyFont="1" applyBorder="1" applyProtection="1">
      <protection hidden="1"/>
    </xf>
    <xf numFmtId="2" fontId="4" fillId="0" borderId="42" xfId="0" applyNumberFormat="1" applyFont="1" applyBorder="1" applyProtection="1">
      <protection hidden="1"/>
    </xf>
    <xf numFmtId="14" fontId="6" fillId="0" borderId="4" xfId="0" applyNumberFormat="1" applyFont="1" applyBorder="1" applyAlignment="1" applyProtection="1">
      <alignment horizontal="left"/>
      <protection hidden="1"/>
    </xf>
    <xf numFmtId="14" fontId="6" fillId="0" borderId="1" xfId="0" applyNumberFormat="1" applyFont="1" applyBorder="1" applyAlignment="1" applyProtection="1">
      <alignment horizontal="left"/>
      <protection hidden="1"/>
    </xf>
    <xf numFmtId="20" fontId="6" fillId="0" borderId="3" xfId="0" applyNumberFormat="1" applyFont="1" applyBorder="1" applyAlignment="1" applyProtection="1">
      <alignment horizontal="left"/>
      <protection hidden="1"/>
    </xf>
    <xf numFmtId="20" fontId="4" fillId="0" borderId="1" xfId="0" applyNumberFormat="1" applyFont="1" applyBorder="1" applyProtection="1">
      <protection hidden="1"/>
    </xf>
    <xf numFmtId="167" fontId="4" fillId="0" borderId="1" xfId="0" applyNumberFormat="1" applyFont="1" applyBorder="1" applyProtection="1">
      <protection hidden="1"/>
    </xf>
    <xf numFmtId="0" fontId="4" fillId="0" borderId="1" xfId="0" applyFont="1" applyBorder="1" applyProtection="1">
      <protection hidden="1"/>
    </xf>
    <xf numFmtId="1" fontId="4" fillId="0" borderId="1" xfId="0" applyNumberFormat="1" applyFont="1" applyBorder="1" applyProtection="1">
      <protection hidden="1"/>
    </xf>
    <xf numFmtId="0" fontId="4" fillId="0" borderId="2" xfId="0" applyFont="1" applyBorder="1" applyProtection="1">
      <protection hidden="1"/>
    </xf>
    <xf numFmtId="1" fontId="4" fillId="0" borderId="0" xfId="0" applyNumberFormat="1" applyFont="1" applyProtection="1">
      <protection hidden="1"/>
    </xf>
    <xf numFmtId="0" fontId="5" fillId="0" borderId="0" xfId="0" applyFont="1" applyProtection="1">
      <protection hidden="1"/>
    </xf>
    <xf numFmtId="0" fontId="4" fillId="0" borderId="42" xfId="0" applyFont="1" applyBorder="1" applyProtection="1">
      <protection hidden="1"/>
    </xf>
    <xf numFmtId="20" fontId="4" fillId="0" borderId="4" xfId="0" applyNumberFormat="1" applyFont="1" applyBorder="1" applyProtection="1">
      <protection hidden="1"/>
    </xf>
    <xf numFmtId="20" fontId="4" fillId="0" borderId="3" xfId="0" applyNumberFormat="1" applyFont="1" applyBorder="1" applyProtection="1">
      <protection hidden="1"/>
    </xf>
    <xf numFmtId="167" fontId="7" fillId="0" borderId="0" xfId="0" applyNumberFormat="1" applyFont="1" applyProtection="1">
      <protection hidden="1"/>
    </xf>
    <xf numFmtId="0" fontId="7" fillId="0" borderId="0" xfId="0" applyFont="1" applyAlignment="1" applyProtection="1">
      <alignment horizontal="left" textRotation="90"/>
      <protection hidden="1"/>
    </xf>
    <xf numFmtId="2" fontId="7" fillId="4" borderId="0" xfId="0" applyNumberFormat="1" applyFont="1" applyFill="1" applyProtection="1">
      <protection hidden="1"/>
    </xf>
    <xf numFmtId="2" fontId="41" fillId="0" borderId="0" xfId="0" applyNumberFormat="1" applyFont="1" applyAlignment="1" applyProtection="1">
      <alignment horizontal="left"/>
      <protection hidden="1"/>
    </xf>
    <xf numFmtId="4" fontId="41" fillId="0" borderId="0" xfId="0" applyNumberFormat="1" applyFont="1" applyAlignment="1" applyProtection="1">
      <alignment horizontal="left"/>
      <protection hidden="1"/>
    </xf>
    <xf numFmtId="0" fontId="58" fillId="0" borderId="0" xfId="0" applyFont="1" applyProtection="1">
      <protection hidden="1"/>
    </xf>
    <xf numFmtId="0" fontId="33" fillId="6" borderId="41" xfId="0" applyFont="1" applyFill="1" applyBorder="1" applyProtection="1">
      <protection hidden="1"/>
    </xf>
    <xf numFmtId="0" fontId="58" fillId="0" borderId="0" xfId="0" applyFont="1" applyAlignment="1" applyProtection="1">
      <alignment horizontal="center" textRotation="90"/>
      <protection hidden="1"/>
    </xf>
    <xf numFmtId="0" fontId="58" fillId="0" borderId="14" xfId="0" applyFont="1" applyBorder="1" applyAlignment="1" applyProtection="1">
      <alignment horizontal="center"/>
      <protection hidden="1"/>
    </xf>
    <xf numFmtId="0" fontId="41" fillId="0" borderId="0" xfId="0" applyFont="1"/>
    <xf numFmtId="0" fontId="41" fillId="0" borderId="0" xfId="0" quotePrefix="1" applyFont="1"/>
    <xf numFmtId="0" fontId="41" fillId="0" borderId="25" xfId="0" applyFont="1" applyBorder="1"/>
    <xf numFmtId="14" fontId="10" fillId="0" borderId="0" xfId="0" applyNumberFormat="1" applyFont="1" applyProtection="1">
      <protection hidden="1"/>
    </xf>
    <xf numFmtId="171" fontId="7" fillId="0" borderId="37" xfId="0" applyNumberFormat="1" applyFont="1" applyBorder="1" applyProtection="1">
      <protection locked="0" hidden="1"/>
    </xf>
    <xf numFmtId="14" fontId="4" fillId="0" borderId="0" xfId="0" applyNumberFormat="1" applyFont="1"/>
    <xf numFmtId="2" fontId="4" fillId="0" borderId="0" xfId="0" applyNumberFormat="1" applyFont="1"/>
    <xf numFmtId="164" fontId="30" fillId="0" borderId="28" xfId="0" applyNumberFormat="1" applyFont="1" applyBorder="1" applyProtection="1">
      <protection hidden="1"/>
    </xf>
    <xf numFmtId="0" fontId="30" fillId="0" borderId="44" xfId="0" applyFont="1" applyBorder="1" applyProtection="1">
      <protection hidden="1"/>
    </xf>
    <xf numFmtId="20" fontId="33" fillId="0" borderId="44" xfId="0" applyNumberFormat="1" applyFont="1" applyBorder="1" applyAlignment="1" applyProtection="1">
      <alignment horizontal="center"/>
      <protection locked="0" hidden="1"/>
    </xf>
    <xf numFmtId="20" fontId="33" fillId="0" borderId="28" xfId="0" applyNumberFormat="1" applyFont="1" applyBorder="1" applyAlignment="1" applyProtection="1">
      <alignment horizontal="center"/>
      <protection locked="0" hidden="1"/>
    </xf>
    <xf numFmtId="49" fontId="33" fillId="0" borderId="28" xfId="0" applyNumberFormat="1" applyFont="1" applyBorder="1" applyAlignment="1" applyProtection="1">
      <alignment horizontal="center"/>
      <protection locked="0" hidden="1"/>
    </xf>
    <xf numFmtId="2" fontId="33" fillId="0" borderId="28" xfId="0" applyNumberFormat="1" applyFont="1" applyBorder="1" applyProtection="1">
      <protection locked="0" hidden="1"/>
    </xf>
    <xf numFmtId="2" fontId="33" fillId="0" borderId="28" xfId="0" applyNumberFormat="1" applyFont="1" applyBorder="1" applyProtection="1">
      <protection hidden="1"/>
    </xf>
    <xf numFmtId="49" fontId="33" fillId="0" borderId="39" xfId="0" applyNumberFormat="1" applyFont="1" applyBorder="1" applyAlignment="1" applyProtection="1">
      <alignment horizontal="center"/>
      <protection locked="0" hidden="1"/>
    </xf>
    <xf numFmtId="49" fontId="33" fillId="5" borderId="28" xfId="0" applyNumberFormat="1" applyFont="1" applyFill="1" applyBorder="1" applyAlignment="1" applyProtection="1">
      <alignment horizontal="center"/>
      <protection locked="0" hidden="1"/>
    </xf>
    <xf numFmtId="0" fontId="30" fillId="0" borderId="28" xfId="0" applyFont="1" applyBorder="1" applyProtection="1">
      <protection hidden="1"/>
    </xf>
    <xf numFmtId="0" fontId="33" fillId="0" borderId="28" xfId="0" applyFont="1" applyBorder="1" applyProtection="1">
      <protection locked="0" hidden="1"/>
    </xf>
    <xf numFmtId="0" fontId="0" fillId="0" borderId="5" xfId="0" applyBorder="1" applyProtection="1">
      <protection hidden="1"/>
    </xf>
    <xf numFmtId="0" fontId="63" fillId="0" borderId="0" xfId="0" quotePrefix="1" applyFont="1" applyProtection="1">
      <protection hidden="1"/>
    </xf>
    <xf numFmtId="1" fontId="33" fillId="0" borderId="28" xfId="0" applyNumberFormat="1" applyFont="1" applyBorder="1" applyProtection="1">
      <protection hidden="1"/>
    </xf>
    <xf numFmtId="1" fontId="33" fillId="0" borderId="39" xfId="0" applyNumberFormat="1" applyFont="1" applyBorder="1" applyProtection="1">
      <protection hidden="1"/>
    </xf>
    <xf numFmtId="2" fontId="11" fillId="0" borderId="24" xfId="0" applyNumberFormat="1" applyFont="1" applyBorder="1" applyAlignment="1" applyProtection="1">
      <alignment horizontal="center"/>
      <protection hidden="1"/>
    </xf>
    <xf numFmtId="0" fontId="21" fillId="0" borderId="24" xfId="0" applyFont="1" applyBorder="1" applyAlignment="1" applyProtection="1">
      <alignment horizontal="center"/>
      <protection hidden="1"/>
    </xf>
    <xf numFmtId="0" fontId="65" fillId="0" borderId="45" xfId="0" applyFont="1" applyBorder="1" applyAlignment="1" applyProtection="1">
      <alignment horizontal="center"/>
      <protection hidden="1"/>
    </xf>
    <xf numFmtId="0" fontId="38" fillId="0" borderId="0" xfId="0" applyFont="1" applyProtection="1">
      <protection hidden="1"/>
    </xf>
    <xf numFmtId="0" fontId="38" fillId="0" borderId="25" xfId="0" applyFont="1" applyBorder="1" applyProtection="1">
      <protection hidden="1"/>
    </xf>
    <xf numFmtId="0" fontId="35" fillId="0" borderId="0" xfId="0" applyFont="1" applyAlignment="1" applyProtection="1">
      <alignment horizontal="center"/>
      <protection hidden="1"/>
    </xf>
    <xf numFmtId="0" fontId="64" fillId="0" borderId="23" xfId="0" applyFont="1" applyBorder="1" applyAlignment="1" applyProtection="1">
      <alignment horizontal="center"/>
      <protection hidden="1"/>
    </xf>
    <xf numFmtId="0" fontId="35" fillId="0" borderId="5" xfId="0" applyFont="1" applyBorder="1" applyAlignment="1" applyProtection="1">
      <alignment horizontal="center"/>
      <protection hidden="1"/>
    </xf>
    <xf numFmtId="0" fontId="35" fillId="0" borderId="12" xfId="0" applyFont="1" applyBorder="1" applyAlignment="1" applyProtection="1">
      <alignment horizontal="center"/>
      <protection hidden="1"/>
    </xf>
    <xf numFmtId="0" fontId="35" fillId="0" borderId="10" xfId="0" applyFont="1" applyBorder="1" applyAlignment="1" applyProtection="1">
      <alignment horizontal="center"/>
      <protection hidden="1"/>
    </xf>
    <xf numFmtId="0" fontId="35" fillId="0" borderId="11" xfId="0" applyFont="1" applyBorder="1" applyAlignment="1" applyProtection="1">
      <alignment horizontal="center"/>
      <protection hidden="1"/>
    </xf>
    <xf numFmtId="0" fontId="21" fillId="0" borderId="21" xfId="0" applyFont="1" applyBorder="1" applyAlignment="1" applyProtection="1">
      <alignment horizontal="center"/>
      <protection hidden="1"/>
    </xf>
    <xf numFmtId="0" fontId="12" fillId="0" borderId="24" xfId="0" applyFont="1" applyBorder="1" applyAlignment="1" applyProtection="1">
      <alignment horizontal="center"/>
      <protection hidden="1"/>
    </xf>
    <xf numFmtId="2" fontId="22" fillId="0" borderId="24" xfId="0" applyNumberFormat="1" applyFont="1" applyBorder="1" applyProtection="1">
      <protection hidden="1"/>
    </xf>
    <xf numFmtId="2" fontId="6" fillId="0" borderId="24" xfId="0" applyNumberFormat="1" applyFont="1" applyBorder="1" applyProtection="1">
      <protection hidden="1"/>
    </xf>
    <xf numFmtId="2" fontId="39" fillId="0" borderId="24" xfId="0" applyNumberFormat="1" applyFont="1" applyBorder="1" applyProtection="1">
      <protection hidden="1"/>
    </xf>
    <xf numFmtId="14" fontId="29" fillId="0" borderId="0" xfId="0" applyNumberFormat="1" applyFont="1" applyAlignment="1" applyProtection="1">
      <alignment horizontal="right"/>
      <protection hidden="1"/>
    </xf>
    <xf numFmtId="14" fontId="53" fillId="5" borderId="15" xfId="0" applyNumberFormat="1" applyFont="1" applyFill="1" applyBorder="1" applyAlignment="1" applyProtection="1">
      <alignment horizontal="left"/>
      <protection locked="0" hidden="1"/>
    </xf>
    <xf numFmtId="0" fontId="11" fillId="0" borderId="24" xfId="0" applyFont="1" applyBorder="1" applyAlignment="1" applyProtection="1">
      <alignment horizontal="center"/>
      <protection hidden="1"/>
    </xf>
    <xf numFmtId="0" fontId="11" fillId="6" borderId="24" xfId="0" applyFont="1" applyFill="1" applyBorder="1" applyProtection="1">
      <protection hidden="1"/>
    </xf>
    <xf numFmtId="20" fontId="11" fillId="6" borderId="24" xfId="0" applyNumberFormat="1" applyFont="1" applyFill="1" applyBorder="1" applyProtection="1">
      <protection hidden="1"/>
    </xf>
    <xf numFmtId="167" fontId="11" fillId="6" borderId="24" xfId="0" applyNumberFormat="1" applyFont="1" applyFill="1" applyBorder="1" applyProtection="1">
      <protection hidden="1"/>
    </xf>
    <xf numFmtId="0" fontId="11" fillId="6" borderId="24" xfId="0" applyFont="1" applyFill="1" applyBorder="1" applyAlignment="1" applyProtection="1">
      <alignment horizontal="left"/>
      <protection hidden="1"/>
    </xf>
    <xf numFmtId="20" fontId="11" fillId="6" borderId="0" xfId="0" applyNumberFormat="1" applyFont="1" applyFill="1" applyProtection="1">
      <protection hidden="1"/>
    </xf>
    <xf numFmtId="20" fontId="11" fillId="6" borderId="21" xfId="0" applyNumberFormat="1" applyFont="1" applyFill="1" applyBorder="1" applyProtection="1">
      <protection hidden="1"/>
    </xf>
    <xf numFmtId="0" fontId="11" fillId="6" borderId="19" xfId="0" applyFont="1" applyFill="1" applyBorder="1" applyProtection="1">
      <protection hidden="1"/>
    </xf>
    <xf numFmtId="9" fontId="11" fillId="6" borderId="19" xfId="0" applyNumberFormat="1" applyFont="1" applyFill="1" applyBorder="1" applyAlignment="1" applyProtection="1">
      <alignment horizontal="center"/>
      <protection hidden="1"/>
    </xf>
    <xf numFmtId="0" fontId="11" fillId="6" borderId="19" xfId="0" applyFont="1" applyFill="1" applyBorder="1" applyAlignment="1" applyProtection="1">
      <alignment horizontal="left"/>
      <protection hidden="1"/>
    </xf>
    <xf numFmtId="0" fontId="69" fillId="6" borderId="6" xfId="0" applyFont="1" applyFill="1" applyBorder="1" applyProtection="1">
      <protection hidden="1"/>
    </xf>
    <xf numFmtId="167" fontId="70" fillId="6" borderId="25" xfId="0" quotePrefix="1" applyNumberFormat="1" applyFont="1" applyFill="1" applyBorder="1" applyAlignment="1" applyProtection="1">
      <alignment horizontal="center"/>
      <protection hidden="1"/>
    </xf>
    <xf numFmtId="20" fontId="11" fillId="6" borderId="21" xfId="0" applyNumberFormat="1" applyFont="1" applyFill="1" applyBorder="1" applyAlignment="1" applyProtection="1">
      <alignment horizontal="center"/>
      <protection hidden="1"/>
    </xf>
    <xf numFmtId="0" fontId="70" fillId="6" borderId="24" xfId="0" applyFont="1" applyFill="1" applyBorder="1" applyAlignment="1" applyProtection="1">
      <alignment horizontal="left"/>
      <protection hidden="1"/>
    </xf>
    <xf numFmtId="0" fontId="47" fillId="0" borderId="8" xfId="0" applyFont="1" applyBorder="1" applyProtection="1">
      <protection hidden="1"/>
    </xf>
    <xf numFmtId="0" fontId="47" fillId="0" borderId="9" xfId="0" applyFont="1" applyBorder="1" applyProtection="1">
      <protection hidden="1"/>
    </xf>
    <xf numFmtId="0" fontId="71" fillId="0" borderId="6" xfId="0" applyFont="1" applyBorder="1" applyProtection="1">
      <protection hidden="1"/>
    </xf>
    <xf numFmtId="9" fontId="11" fillId="6" borderId="24" xfId="0" applyNumberFormat="1" applyFont="1" applyFill="1" applyBorder="1" applyAlignment="1" applyProtection="1">
      <alignment horizontal="center"/>
      <protection hidden="1"/>
    </xf>
    <xf numFmtId="0" fontId="69" fillId="6" borderId="25" xfId="0" applyFont="1" applyFill="1" applyBorder="1" applyProtection="1">
      <protection hidden="1"/>
    </xf>
    <xf numFmtId="0" fontId="35" fillId="0" borderId="13" xfId="0" applyFont="1" applyBorder="1"/>
    <xf numFmtId="0" fontId="35" fillId="0" borderId="14" xfId="0" applyFont="1" applyBorder="1"/>
    <xf numFmtId="20" fontId="35" fillId="0" borderId="43" xfId="0" applyNumberFormat="1" applyFont="1" applyBorder="1"/>
    <xf numFmtId="20" fontId="35" fillId="0" borderId="14" xfId="0" applyNumberFormat="1" applyFont="1" applyBorder="1"/>
    <xf numFmtId="20" fontId="38" fillId="0" borderId="14" xfId="0" applyNumberFormat="1" applyFont="1" applyBorder="1"/>
    <xf numFmtId="167" fontId="38" fillId="0" borderId="14" xfId="0" applyNumberFormat="1" applyFont="1" applyBorder="1"/>
    <xf numFmtId="0" fontId="38" fillId="0" borderId="14" xfId="0" applyFont="1" applyBorder="1"/>
    <xf numFmtId="2" fontId="38" fillId="0" borderId="42" xfId="0" applyNumberFormat="1" applyFont="1" applyBorder="1"/>
    <xf numFmtId="0" fontId="38" fillId="0" borderId="42" xfId="0" applyFont="1" applyBorder="1"/>
    <xf numFmtId="0" fontId="38" fillId="0" borderId="19" xfId="0" applyFont="1" applyBorder="1" applyAlignment="1" applyProtection="1">
      <alignment horizontal="center"/>
      <protection hidden="1"/>
    </xf>
    <xf numFmtId="1" fontId="38" fillId="0" borderId="24" xfId="0" applyNumberFormat="1" applyFont="1" applyBorder="1" applyAlignment="1" applyProtection="1">
      <alignment horizontal="center"/>
      <protection hidden="1"/>
    </xf>
    <xf numFmtId="2" fontId="38" fillId="0" borderId="24" xfId="0" applyNumberFormat="1" applyFont="1" applyBorder="1" applyAlignment="1" applyProtection="1">
      <alignment horizontal="center"/>
      <protection hidden="1"/>
    </xf>
    <xf numFmtId="0" fontId="38" fillId="0" borderId="24" xfId="0" applyFont="1" applyBorder="1" applyAlignment="1" applyProtection="1">
      <alignment horizontal="center"/>
      <protection hidden="1"/>
    </xf>
    <xf numFmtId="0" fontId="35" fillId="0" borderId="0" xfId="0" applyFont="1" applyProtection="1">
      <protection hidden="1"/>
    </xf>
    <xf numFmtId="0" fontId="35" fillId="0" borderId="9" xfId="0" applyFont="1" applyBorder="1" applyProtection="1">
      <protection hidden="1"/>
    </xf>
    <xf numFmtId="0" fontId="35" fillId="0" borderId="6" xfId="0" applyFont="1" applyBorder="1" applyProtection="1">
      <protection hidden="1"/>
    </xf>
    <xf numFmtId="0" fontId="35" fillId="0" borderId="0" xfId="0" applyFont="1"/>
    <xf numFmtId="0" fontId="11" fillId="0" borderId="0" xfId="0" applyFont="1"/>
    <xf numFmtId="0" fontId="38" fillId="0" borderId="0" xfId="0" applyFont="1"/>
    <xf numFmtId="0" fontId="35" fillId="0" borderId="8" xfId="0" applyFont="1" applyBorder="1" applyProtection="1">
      <protection hidden="1"/>
    </xf>
    <xf numFmtId="14" fontId="53" fillId="5" borderId="0" xfId="0" applyNumberFormat="1" applyFont="1" applyFill="1" applyAlignment="1" applyProtection="1">
      <alignment horizontal="left"/>
      <protection locked="0" hidden="1"/>
    </xf>
    <xf numFmtId="1" fontId="38" fillId="0" borderId="12" xfId="0" applyNumberFormat="1" applyFont="1" applyBorder="1" applyAlignment="1" applyProtection="1">
      <alignment horizontal="center" vertical="top"/>
      <protection hidden="1"/>
    </xf>
    <xf numFmtId="0" fontId="38" fillId="0" borderId="12" xfId="0" applyFont="1" applyBorder="1" applyAlignment="1" applyProtection="1">
      <alignment horizontal="center" vertical="top"/>
      <protection hidden="1"/>
    </xf>
    <xf numFmtId="0" fontId="7" fillId="0" borderId="0" xfId="0" quotePrefix="1" applyFont="1"/>
    <xf numFmtId="164" fontId="33" fillId="0" borderId="0" xfId="0" applyNumberFormat="1" applyFont="1" applyProtection="1">
      <protection hidden="1"/>
    </xf>
    <xf numFmtId="164" fontId="7" fillId="0" borderId="0" xfId="0" applyNumberFormat="1" applyFont="1" applyProtection="1">
      <protection hidden="1"/>
    </xf>
    <xf numFmtId="0" fontId="68" fillId="0" borderId="46" xfId="0" applyFont="1" applyBorder="1" applyAlignment="1" applyProtection="1">
      <alignment horizontal="right"/>
      <protection hidden="1"/>
    </xf>
    <xf numFmtId="0" fontId="38" fillId="0" borderId="8" xfId="0" applyFont="1" applyBorder="1" applyAlignment="1" applyProtection="1">
      <alignment horizontal="center"/>
      <protection hidden="1"/>
    </xf>
    <xf numFmtId="0" fontId="38" fillId="0" borderId="9" xfId="0" applyFont="1" applyBorder="1" applyAlignment="1" applyProtection="1">
      <alignment horizontal="center"/>
      <protection hidden="1"/>
    </xf>
    <xf numFmtId="0" fontId="38" fillId="0" borderId="0" xfId="0" applyFont="1" applyAlignment="1" applyProtection="1">
      <alignment horizontal="center"/>
      <protection hidden="1"/>
    </xf>
    <xf numFmtId="0" fontId="38" fillId="0" borderId="5" xfId="0" applyFont="1" applyBorder="1" applyAlignment="1" applyProtection="1">
      <alignment horizontal="center" vertical="top"/>
      <protection hidden="1"/>
    </xf>
    <xf numFmtId="1" fontId="29" fillId="0" borderId="47" xfId="0" applyNumberFormat="1" applyFont="1" applyBorder="1" applyAlignment="1" applyProtection="1">
      <alignment horizontal="center"/>
      <protection hidden="1"/>
    </xf>
    <xf numFmtId="1" fontId="4" fillId="0" borderId="27" xfId="0" applyNumberFormat="1" applyFont="1" applyBorder="1" applyAlignment="1" applyProtection="1">
      <alignment horizontal="center"/>
      <protection hidden="1"/>
    </xf>
    <xf numFmtId="0" fontId="29" fillId="5" borderId="30" xfId="0" applyFont="1" applyFill="1" applyBorder="1" applyAlignment="1" applyProtection="1">
      <alignment horizontal="center"/>
      <protection hidden="1"/>
    </xf>
    <xf numFmtId="0" fontId="4" fillId="5" borderId="29" xfId="0" applyFont="1" applyFill="1" applyBorder="1" applyAlignment="1" applyProtection="1">
      <alignment horizontal="center"/>
      <protection hidden="1"/>
    </xf>
    <xf numFmtId="0" fontId="29" fillId="0" borderId="30" xfId="0" applyFont="1" applyBorder="1" applyAlignment="1" applyProtection="1">
      <alignment horizontal="center"/>
      <protection hidden="1"/>
    </xf>
    <xf numFmtId="0" fontId="4" fillId="0" borderId="29" xfId="0" applyFont="1" applyBorder="1" applyAlignment="1" applyProtection="1">
      <alignment horizontal="center"/>
      <protection hidden="1"/>
    </xf>
    <xf numFmtId="0" fontId="29" fillId="0" borderId="39" xfId="0" applyFont="1" applyBorder="1" applyAlignment="1" applyProtection="1">
      <alignment horizontal="center"/>
      <protection hidden="1"/>
    </xf>
    <xf numFmtId="0" fontId="4" fillId="0" borderId="48" xfId="0" applyFont="1" applyBorder="1" applyAlignment="1" applyProtection="1">
      <alignment horizontal="center"/>
      <protection hidden="1"/>
    </xf>
    <xf numFmtId="0" fontId="16" fillId="0" borderId="0" xfId="0" applyFont="1" applyProtection="1">
      <protection hidden="1"/>
    </xf>
    <xf numFmtId="14" fontId="6" fillId="0" borderId="0" xfId="0" applyNumberFormat="1" applyFont="1" applyAlignment="1" applyProtection="1">
      <alignment horizontal="left"/>
      <protection hidden="1"/>
    </xf>
    <xf numFmtId="0" fontId="4" fillId="3" borderId="49" xfId="0" applyFont="1" applyFill="1" applyBorder="1" applyProtection="1">
      <protection hidden="1"/>
    </xf>
    <xf numFmtId="171" fontId="7" fillId="5" borderId="50" xfId="0" applyNumberFormat="1" applyFont="1" applyFill="1" applyBorder="1" applyProtection="1">
      <protection hidden="1"/>
    </xf>
    <xf numFmtId="49" fontId="16" fillId="5" borderId="14" xfId="0" applyNumberFormat="1" applyFont="1" applyFill="1" applyBorder="1" applyAlignment="1" applyProtection="1">
      <alignment horizontal="center"/>
      <protection hidden="1"/>
    </xf>
    <xf numFmtId="0" fontId="67" fillId="4" borderId="0" xfId="0" applyFont="1" applyFill="1" applyProtection="1">
      <protection hidden="1"/>
    </xf>
    <xf numFmtId="0" fontId="67" fillId="0" borderId="0" xfId="0" applyFont="1" applyProtection="1">
      <protection hidden="1"/>
    </xf>
    <xf numFmtId="0" fontId="7" fillId="4" borderId="25" xfId="0" applyFont="1" applyFill="1" applyBorder="1" applyAlignment="1" applyProtection="1">
      <alignment horizontal="left" textRotation="90"/>
      <protection hidden="1"/>
    </xf>
    <xf numFmtId="3" fontId="1" fillId="0" borderId="23" xfId="0" applyNumberFormat="1" applyFont="1" applyBorder="1" applyAlignment="1" applyProtection="1">
      <alignment horizontal="right"/>
      <protection hidden="1"/>
    </xf>
    <xf numFmtId="0" fontId="3" fillId="4" borderId="0" xfId="0" applyFont="1" applyFill="1" applyProtection="1">
      <protection hidden="1"/>
    </xf>
    <xf numFmtId="0" fontId="67" fillId="4" borderId="0" xfId="0" applyFont="1" applyFill="1"/>
    <xf numFmtId="1" fontId="35" fillId="0" borderId="0" xfId="0" applyNumberFormat="1" applyFont="1" applyProtection="1">
      <protection hidden="1"/>
    </xf>
    <xf numFmtId="0" fontId="57" fillId="0" borderId="46" xfId="0" applyFont="1" applyBorder="1" applyAlignment="1" applyProtection="1">
      <alignment horizontal="right"/>
      <protection hidden="1"/>
    </xf>
    <xf numFmtId="0" fontId="29" fillId="0" borderId="47" xfId="0" applyFont="1" applyBorder="1" applyAlignment="1" applyProtection="1">
      <alignment horizontal="center"/>
      <protection hidden="1"/>
    </xf>
    <xf numFmtId="0" fontId="4" fillId="0" borderId="27" xfId="0" applyFont="1" applyBorder="1" applyAlignment="1" applyProtection="1">
      <alignment horizontal="center"/>
      <protection hidden="1"/>
    </xf>
    <xf numFmtId="0" fontId="35" fillId="0" borderId="0" xfId="0" applyFont="1" applyAlignment="1" applyProtection="1">
      <alignment horizontal="left"/>
      <protection hidden="1"/>
    </xf>
    <xf numFmtId="0" fontId="38" fillId="0" borderId="0" xfId="0" applyFont="1" applyAlignment="1" applyProtection="1">
      <alignment horizontal="left"/>
      <protection hidden="1"/>
    </xf>
    <xf numFmtId="0" fontId="11" fillId="0" borderId="0" xfId="0" applyFont="1" applyAlignment="1" applyProtection="1">
      <alignment horizontal="left"/>
      <protection hidden="1"/>
    </xf>
    <xf numFmtId="0" fontId="14" fillId="0" borderId="0" xfId="0" applyFont="1" applyAlignment="1" applyProtection="1">
      <alignment horizontal="left" textRotation="90"/>
      <protection hidden="1"/>
    </xf>
    <xf numFmtId="164" fontId="7" fillId="0" borderId="0" xfId="0" applyNumberFormat="1" applyFont="1" applyAlignment="1" applyProtection="1">
      <alignment horizontal="center"/>
      <protection hidden="1"/>
    </xf>
    <xf numFmtId="14" fontId="7" fillId="0" borderId="0" xfId="0" applyNumberFormat="1" applyFont="1" applyProtection="1">
      <protection hidden="1"/>
    </xf>
    <xf numFmtId="0" fontId="66" fillId="0" borderId="0" xfId="0" applyFont="1" applyProtection="1">
      <protection hidden="1"/>
    </xf>
    <xf numFmtId="0" fontId="7" fillId="0" borderId="47" xfId="0" applyFont="1" applyBorder="1" applyAlignment="1" applyProtection="1">
      <alignment horizontal="center"/>
      <protection hidden="1"/>
    </xf>
    <xf numFmtId="0" fontId="7" fillId="5" borderId="30" xfId="0" applyFont="1" applyFill="1" applyBorder="1" applyAlignment="1" applyProtection="1">
      <alignment horizontal="center"/>
      <protection hidden="1"/>
    </xf>
    <xf numFmtId="0" fontId="7" fillId="0" borderId="30" xfId="0" applyFont="1" applyBorder="1" applyAlignment="1" applyProtection="1">
      <alignment horizontal="center"/>
      <protection hidden="1"/>
    </xf>
    <xf numFmtId="0" fontId="7" fillId="0" borderId="39" xfId="0" applyFont="1" applyBorder="1" applyAlignment="1" applyProtection="1">
      <alignment horizontal="center"/>
      <protection hidden="1"/>
    </xf>
    <xf numFmtId="0" fontId="67" fillId="0" borderId="0" xfId="0" applyFont="1" applyAlignment="1" applyProtection="1">
      <alignment horizontal="center"/>
      <protection hidden="1"/>
    </xf>
    <xf numFmtId="0" fontId="45" fillId="0" borderId="0" xfId="0" applyFont="1" applyProtection="1">
      <protection hidden="1"/>
    </xf>
    <xf numFmtId="0" fontId="45" fillId="0" borderId="15" xfId="0" applyFont="1" applyBorder="1" applyAlignment="1" applyProtection="1">
      <alignment horizontal="right"/>
      <protection hidden="1"/>
    </xf>
    <xf numFmtId="0" fontId="45" fillId="0" borderId="0" xfId="0" applyFont="1" applyAlignment="1" applyProtection="1">
      <alignment horizontal="right"/>
      <protection hidden="1"/>
    </xf>
    <xf numFmtId="14" fontId="45" fillId="0" borderId="0" xfId="0" applyNumberFormat="1" applyFont="1" applyAlignment="1" applyProtection="1">
      <alignment horizontal="left"/>
      <protection hidden="1"/>
    </xf>
    <xf numFmtId="14" fontId="45" fillId="0" borderId="0" xfId="0" applyNumberFormat="1" applyFont="1" applyAlignment="1" applyProtection="1">
      <alignment horizontal="right"/>
      <protection hidden="1"/>
    </xf>
    <xf numFmtId="0" fontId="7" fillId="4" borderId="0" xfId="0" applyFont="1" applyFill="1"/>
    <xf numFmtId="2" fontId="59" fillId="4" borderId="0" xfId="0" applyNumberFormat="1" applyFont="1" applyFill="1" applyAlignment="1">
      <alignment horizontal="right"/>
    </xf>
    <xf numFmtId="0" fontId="59" fillId="4" borderId="0" xfId="0" applyFont="1" applyFill="1" applyAlignment="1">
      <alignment horizontal="right"/>
    </xf>
    <xf numFmtId="0" fontId="34" fillId="4" borderId="0" xfId="0" applyFont="1" applyFill="1" applyProtection="1">
      <protection hidden="1"/>
    </xf>
    <xf numFmtId="20" fontId="15" fillId="0" borderId="0" xfId="0" applyNumberFormat="1" applyFont="1" applyAlignment="1">
      <alignment horizontal="center"/>
    </xf>
    <xf numFmtId="14" fontId="15" fillId="0" borderId="0" xfId="0" applyNumberFormat="1" applyFont="1" applyProtection="1">
      <protection hidden="1"/>
    </xf>
    <xf numFmtId="14" fontId="41" fillId="0" borderId="0" xfId="0" applyNumberFormat="1" applyFont="1" applyProtection="1">
      <protection hidden="1"/>
    </xf>
    <xf numFmtId="14" fontId="18" fillId="0" borderId="0" xfId="0" applyNumberFormat="1" applyFont="1" applyAlignment="1" applyProtection="1">
      <alignment horizontal="left"/>
      <protection hidden="1"/>
    </xf>
    <xf numFmtId="0" fontId="45" fillId="0" borderId="15" xfId="0" quotePrefix="1" applyFont="1" applyBorder="1" applyAlignment="1" applyProtection="1">
      <alignment horizontal="left"/>
      <protection hidden="1"/>
    </xf>
    <xf numFmtId="1" fontId="53" fillId="0" borderId="0" xfId="0" applyNumberFormat="1" applyFont="1" applyAlignment="1" applyProtection="1">
      <alignment horizontal="right"/>
      <protection hidden="1"/>
    </xf>
    <xf numFmtId="0" fontId="3" fillId="0" borderId="44" xfId="0" applyFont="1" applyBorder="1" applyProtection="1">
      <protection locked="0"/>
    </xf>
    <xf numFmtId="0" fontId="0" fillId="0" borderId="35" xfId="0" applyBorder="1" applyProtection="1">
      <protection locked="0"/>
    </xf>
    <xf numFmtId="0" fontId="0" fillId="0" borderId="30" xfId="0" applyBorder="1" applyProtection="1">
      <protection locked="0"/>
    </xf>
    <xf numFmtId="0" fontId="47" fillId="4" borderId="11" xfId="0" applyFont="1" applyFill="1" applyBorder="1" applyAlignment="1" applyProtection="1">
      <alignment horizontal="left" wrapText="1"/>
      <protection hidden="1"/>
    </xf>
    <xf numFmtId="0" fontId="47" fillId="4" borderId="5" xfId="0" applyFont="1" applyFill="1" applyBorder="1" applyAlignment="1" applyProtection="1">
      <alignment horizontal="left" wrapText="1"/>
      <protection hidden="1"/>
    </xf>
    <xf numFmtId="0" fontId="7" fillId="0" borderId="0" xfId="0" quotePrefix="1" applyFont="1" applyAlignment="1" applyProtection="1">
      <alignment horizontal="left"/>
      <protection locked="0"/>
    </xf>
    <xf numFmtId="2" fontId="41" fillId="5" borderId="30" xfId="0" applyNumberFormat="1" applyFont="1" applyFill="1" applyBorder="1" applyProtection="1">
      <protection locked="0" hidden="1"/>
    </xf>
    <xf numFmtId="2" fontId="41" fillId="0" borderId="30" xfId="0" applyNumberFormat="1" applyFont="1" applyBorder="1" applyProtection="1">
      <protection locked="0" hidden="1"/>
    </xf>
    <xf numFmtId="2" fontId="4" fillId="4" borderId="35" xfId="0" applyNumberFormat="1" applyFont="1" applyFill="1" applyBorder="1" applyProtection="1">
      <protection locked="0"/>
    </xf>
    <xf numFmtId="0" fontId="0" fillId="0" borderId="29" xfId="0" applyBorder="1" applyProtection="1">
      <protection locked="0"/>
    </xf>
    <xf numFmtId="0" fontId="4" fillId="0" borderId="30" xfId="0" applyFont="1" applyBorder="1" applyProtection="1">
      <protection locked="0"/>
    </xf>
    <xf numFmtId="0" fontId="4" fillId="0" borderId="29" xfId="0" applyFont="1" applyBorder="1" applyProtection="1">
      <protection locked="0"/>
    </xf>
    <xf numFmtId="14" fontId="4" fillId="0" borderId="26" xfId="0" applyNumberFormat="1" applyFont="1" applyBorder="1" applyProtection="1">
      <protection locked="0"/>
    </xf>
    <xf numFmtId="0" fontId="0" fillId="0" borderId="28" xfId="0" applyBorder="1" applyProtection="1">
      <protection locked="0"/>
    </xf>
    <xf numFmtId="0" fontId="75" fillId="0" borderId="0" xfId="0" applyFont="1" applyAlignment="1">
      <alignment horizontal="center" textRotation="90"/>
    </xf>
    <xf numFmtId="0" fontId="75" fillId="0" borderId="0" xfId="0" applyFont="1" applyAlignment="1">
      <alignment horizontal="center"/>
    </xf>
    <xf numFmtId="0" fontId="31" fillId="0" borderId="0" xfId="1" applyAlignment="1" applyProtection="1"/>
    <xf numFmtId="0" fontId="53" fillId="6" borderId="15" xfId="0" applyFont="1" applyFill="1" applyBorder="1" applyAlignment="1" applyProtection="1">
      <alignment horizontal="left"/>
      <protection locked="0" hidden="1"/>
    </xf>
    <xf numFmtId="0" fontId="53" fillId="6" borderId="0" xfId="0" applyFont="1" applyFill="1" applyAlignment="1" applyProtection="1">
      <alignment horizontal="left"/>
      <protection locked="0" hidden="1"/>
    </xf>
    <xf numFmtId="49" fontId="53" fillId="6" borderId="13" xfId="0" applyNumberFormat="1" applyFont="1" applyFill="1" applyBorder="1" applyAlignment="1" applyProtection="1">
      <alignment horizontal="left"/>
      <protection locked="0" hidden="1"/>
    </xf>
    <xf numFmtId="49" fontId="53" fillId="6" borderId="14" xfId="0" applyNumberFormat="1" applyFont="1" applyFill="1" applyBorder="1" applyProtection="1">
      <protection locked="0" hidden="1"/>
    </xf>
    <xf numFmtId="49" fontId="53" fillId="6" borderId="15" xfId="0" applyNumberFormat="1" applyFont="1" applyFill="1" applyBorder="1" applyAlignment="1" applyProtection="1">
      <alignment horizontal="left"/>
      <protection locked="0" hidden="1"/>
    </xf>
    <xf numFmtId="49" fontId="53" fillId="6" borderId="0" xfId="0" applyNumberFormat="1" applyFont="1" applyFill="1" applyProtection="1">
      <protection locked="0" hidden="1"/>
    </xf>
    <xf numFmtId="49" fontId="16" fillId="6" borderId="14" xfId="0" applyNumberFormat="1" applyFont="1" applyFill="1" applyBorder="1" applyAlignment="1" applyProtection="1">
      <alignment horizontal="left"/>
      <protection hidden="1"/>
    </xf>
    <xf numFmtId="0" fontId="16" fillId="6" borderId="14" xfId="0" applyFont="1" applyFill="1" applyBorder="1" applyAlignment="1" applyProtection="1">
      <alignment horizontal="left"/>
      <protection hidden="1"/>
    </xf>
    <xf numFmtId="49" fontId="16" fillId="7" borderId="14" xfId="0" applyNumberFormat="1" applyFont="1" applyFill="1" applyBorder="1" applyAlignment="1" applyProtection="1">
      <alignment horizontal="center"/>
      <protection hidden="1"/>
    </xf>
    <xf numFmtId="0" fontId="67" fillId="7" borderId="14" xfId="0" applyFont="1" applyFill="1" applyBorder="1" applyAlignment="1" applyProtection="1">
      <alignment horizontal="center"/>
      <protection hidden="1"/>
    </xf>
    <xf numFmtId="0" fontId="7" fillId="0" borderId="0" xfId="0" applyFont="1" applyProtection="1">
      <protection hidden="1"/>
    </xf>
    <xf numFmtId="0" fontId="13" fillId="0" borderId="0" xfId="0" applyFont="1" applyAlignment="1">
      <alignment horizontal="left" textRotation="90"/>
    </xf>
    <xf numFmtId="0" fontId="13" fillId="0" borderId="0" xfId="0" applyFont="1" applyAlignment="1">
      <alignment horizontal="left" vertical="center" textRotation="90"/>
    </xf>
    <xf numFmtId="0" fontId="13" fillId="4" borderId="0" xfId="0" applyFont="1" applyFill="1" applyAlignment="1" applyProtection="1">
      <alignment horizontal="left" textRotation="90"/>
      <protection hidden="1"/>
    </xf>
    <xf numFmtId="0" fontId="13" fillId="4" borderId="0" xfId="0" applyFont="1" applyFill="1" applyProtection="1">
      <protection hidden="1"/>
    </xf>
    <xf numFmtId="14" fontId="18" fillId="4" borderId="0" xfId="0" applyNumberFormat="1" applyFont="1" applyFill="1" applyProtection="1">
      <protection hidden="1"/>
    </xf>
    <xf numFmtId="14" fontId="0" fillId="0" borderId="23" xfId="0" applyNumberFormat="1" applyBorder="1" applyProtection="1">
      <protection hidden="1"/>
    </xf>
    <xf numFmtId="14" fontId="15" fillId="0" borderId="32" xfId="0" applyNumberFormat="1" applyFont="1" applyBorder="1" applyAlignment="1" applyProtection="1">
      <alignment vertical="center"/>
      <protection hidden="1"/>
    </xf>
    <xf numFmtId="0" fontId="0" fillId="0" borderId="33" xfId="0" applyBorder="1" applyAlignment="1" applyProtection="1">
      <alignment vertical="center"/>
      <protection hidden="1"/>
    </xf>
    <xf numFmtId="0" fontId="55" fillId="0" borderId="33" xfId="0" applyFont="1" applyBorder="1" applyAlignment="1" applyProtection="1">
      <alignment vertical="center"/>
      <protection hidden="1"/>
    </xf>
    <xf numFmtId="0" fontId="0" fillId="0" borderId="33" xfId="0" applyBorder="1" applyAlignment="1">
      <alignment vertical="center"/>
    </xf>
    <xf numFmtId="14" fontId="7" fillId="0" borderId="51" xfId="0" applyNumberFormat="1" applyFont="1" applyBorder="1" applyAlignment="1" applyProtection="1">
      <alignment horizontal="center"/>
      <protection hidden="1"/>
    </xf>
    <xf numFmtId="0" fontId="0" fillId="0" borderId="51" xfId="0" applyBorder="1" applyAlignment="1" applyProtection="1">
      <alignment horizontal="center"/>
      <protection hidden="1"/>
    </xf>
    <xf numFmtId="0" fontId="13" fillId="0" borderId="0" xfId="0" applyFont="1" applyAlignment="1" applyProtection="1">
      <alignment horizontal="left" textRotation="90"/>
      <protection hidden="1"/>
    </xf>
    <xf numFmtId="0" fontId="0" fillId="0" borderId="0" xfId="0"/>
    <xf numFmtId="0" fontId="35" fillId="0" borderId="21" xfId="0" applyFont="1" applyBorder="1" applyAlignment="1" applyProtection="1">
      <alignment horizontal="center"/>
      <protection hidden="1"/>
    </xf>
    <xf numFmtId="0" fontId="64" fillId="0" borderId="0" xfId="0" applyFont="1" applyAlignment="1" applyProtection="1">
      <alignment horizontal="center"/>
      <protection hidden="1"/>
    </xf>
    <xf numFmtId="0" fontId="35" fillId="0" borderId="10" xfId="0" applyFont="1" applyBorder="1" applyAlignment="1" applyProtection="1">
      <alignment horizontal="center"/>
      <protection hidden="1"/>
    </xf>
    <xf numFmtId="0" fontId="64" fillId="0" borderId="52" xfId="0" applyFont="1" applyBorder="1" applyAlignment="1" applyProtection="1">
      <alignment horizontal="center"/>
      <protection hidden="1"/>
    </xf>
    <xf numFmtId="0" fontId="54" fillId="0" borderId="0" xfId="0" applyFont="1" applyAlignment="1" applyProtection="1">
      <alignment horizontal="left" textRotation="90"/>
      <protection hidden="1"/>
    </xf>
    <xf numFmtId="0" fontId="0" fillId="0" borderId="0" xfId="0" applyProtection="1">
      <protection hidden="1"/>
    </xf>
    <xf numFmtId="0" fontId="41" fillId="0" borderId="0" xfId="0" applyFont="1" applyAlignment="1" applyProtection="1">
      <alignment horizontal="left"/>
      <protection hidden="1"/>
    </xf>
    <xf numFmtId="0" fontId="35" fillId="0" borderId="25" xfId="0" applyFont="1" applyBorder="1" applyAlignment="1" applyProtection="1">
      <alignment horizontal="right" wrapText="1"/>
      <protection hidden="1"/>
    </xf>
    <xf numFmtId="0" fontId="0" fillId="0" borderId="11" xfId="0" applyBorder="1" applyAlignment="1">
      <alignment wrapText="1"/>
    </xf>
    <xf numFmtId="0" fontId="38" fillId="0" borderId="21" xfId="0" applyFont="1" applyBorder="1" applyAlignment="1" applyProtection="1">
      <alignment horizontal="center"/>
      <protection hidden="1"/>
    </xf>
    <xf numFmtId="0" fontId="38" fillId="0" borderId="0" xfId="0" applyFont="1" applyAlignment="1" applyProtection="1">
      <alignment horizontal="center"/>
      <protection hidden="1"/>
    </xf>
    <xf numFmtId="14" fontId="73" fillId="0" borderId="4" xfId="0" applyNumberFormat="1" applyFont="1" applyBorder="1" applyAlignment="1" applyProtection="1">
      <alignment horizontal="center" vertical="center"/>
      <protection locked="0"/>
    </xf>
    <xf numFmtId="0" fontId="36" fillId="0" borderId="1" xfId="0" applyFont="1" applyBorder="1" applyAlignment="1" applyProtection="1">
      <alignment horizontal="center" vertical="center"/>
      <protection locked="0"/>
    </xf>
    <xf numFmtId="0" fontId="36" fillId="0" borderId="3" xfId="0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3" fillId="0" borderId="1" xfId="0" applyFont="1" applyBorder="1" applyAlignment="1" applyProtection="1">
      <alignment horizontal="center" vertical="center"/>
      <protection locked="0"/>
    </xf>
    <xf numFmtId="0" fontId="73" fillId="0" borderId="3" xfId="0" applyFont="1" applyBorder="1" applyAlignment="1" applyProtection="1">
      <alignment horizontal="center" vertical="center"/>
      <protection locked="0"/>
    </xf>
    <xf numFmtId="0" fontId="67" fillId="0" borderId="0" xfId="0" applyFont="1" applyProtection="1">
      <protection hidden="1"/>
    </xf>
  </cellXfs>
  <cellStyles count="3">
    <cellStyle name="Hyperlänk" xfId="1" builtinId="8"/>
    <cellStyle name="Normal" xfId="0" builtinId="0"/>
    <cellStyle name="Procent" xfId="2" builtinId="5"/>
  </cellStyles>
  <dxfs count="29">
    <dxf>
      <font>
        <b/>
        <i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96520</xdr:colOff>
      <xdr:row>3</xdr:row>
      <xdr:rowOff>34925</xdr:rowOff>
    </xdr:from>
    <xdr:to>
      <xdr:col>13</xdr:col>
      <xdr:colOff>91756</xdr:colOff>
      <xdr:row>22</xdr:row>
      <xdr:rowOff>114304</xdr:rowOff>
    </xdr:to>
    <xdr:sp macro="" textlink="">
      <xdr:nvSpPr>
        <xdr:cNvPr id="20481" name="Text Box 1">
          <a:extLst>
            <a:ext uri="{FF2B5EF4-FFF2-40B4-BE49-F238E27FC236}">
              <a16:creationId xmlns:a16="http://schemas.microsoft.com/office/drawing/2014/main" id="{DF4176DA-6D5D-4E45-8398-9AE93F36DF4A}"/>
            </a:ext>
          </a:extLst>
        </xdr:cNvPr>
        <xdr:cNvSpPr txBox="1">
          <a:spLocks noChangeArrowheads="1"/>
        </xdr:cNvSpPr>
      </xdr:nvSpPr>
      <xdr:spPr bwMode="auto">
        <a:xfrm>
          <a:off x="3990975" y="704850"/>
          <a:ext cx="3857625" cy="3238500"/>
        </a:xfrm>
        <a:prstGeom prst="rect">
          <a:avLst/>
        </a:prstGeom>
        <a:solidFill>
          <a:srgbClr val="FFFFFF"/>
        </a:solidFill>
        <a:ln w="57150" cmpd="thinThick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72000" tIns="46800" rIns="90000" bIns="46800" anchor="t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Gör så här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(du flyttar dig mellan ifyllnadsrutorna med tab-tangenten!):</a:t>
          </a: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1. Ange nytt årtal och uppdatera vid behov normalarbetstiden.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Årtalsuppgifter på de olika arken uppdateras automatiskt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2. skriv in datum för helg- och klämdagar (veckodagen uppdateras 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automatiskt)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3. ange ev. erforderlig arbetstidskvot för resp dag (nollvärden visas ej)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4. ange aktuellt helgdagsnamn resp notera om det är klämdag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5. för att lägga till eller ta bort rader måste du låsa upp bladet (det är 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skyddat för att förenkla datainmatning - lösenord används ej)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6. lås upp bladets skydd och sortera tabellen på kolumn B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Glöm inte att låsa bladet när du är färdig.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Dölj flikarna "Felinfo", "Fridag", "Normtid".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Lås hela arbetsboken när du dolt flikarna.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Döp om fliken för årssammanställning till aktuellt år.</a:t>
          </a:r>
        </a:p>
        <a:p>
          <a:pPr algn="l" rtl="0">
            <a:defRPr sz="1000"/>
          </a:pPr>
          <a:r>
            <a:rPr lang="en-US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Ev: På resp månadsblad, sätt markören på första arbetsdag.</a:t>
          </a: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Spara!!!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1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Obs! Macintosh datumsystem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</a:p>
      </xdr:txBody>
    </xdr:sp>
    <xdr:clientData/>
  </xdr:twoCellAnchor>
  <xdr:twoCellAnchor>
    <xdr:from>
      <xdr:col>8</xdr:col>
      <xdr:colOff>244158</xdr:colOff>
      <xdr:row>1</xdr:row>
      <xdr:rowOff>1905</xdr:rowOff>
    </xdr:from>
    <xdr:to>
      <xdr:col>12</xdr:col>
      <xdr:colOff>423561</xdr:colOff>
      <xdr:row>2</xdr:row>
      <xdr:rowOff>74613</xdr:rowOff>
    </xdr:to>
    <xdr:sp macro="" textlink="">
      <xdr:nvSpPr>
        <xdr:cNvPr id="20486" name="Text Box 6">
          <a:extLst>
            <a:ext uri="{FF2B5EF4-FFF2-40B4-BE49-F238E27FC236}">
              <a16:creationId xmlns:a16="http://schemas.microsoft.com/office/drawing/2014/main" id="{C436BF88-1F29-463B-AF12-1A08D054662C}"/>
            </a:ext>
          </a:extLst>
        </xdr:cNvPr>
        <xdr:cNvSpPr txBox="1">
          <a:spLocks noChangeArrowheads="1"/>
        </xdr:cNvSpPr>
      </xdr:nvSpPr>
      <xdr:spPr bwMode="auto">
        <a:xfrm>
          <a:off x="4305300" y="190500"/>
          <a:ext cx="3152775" cy="304800"/>
        </a:xfrm>
        <a:prstGeom prst="rect">
          <a:avLst/>
        </a:prstGeom>
        <a:solidFill>
          <a:srgbClr val="FFFFFF"/>
        </a:solidFill>
        <a:ln w="57150" cmpd="thickThin">
          <a:solidFill>
            <a:srgbClr val="FF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Bladet skyddat utan lösenord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88583</xdr:colOff>
      <xdr:row>18</xdr:row>
      <xdr:rowOff>188595</xdr:rowOff>
    </xdr:from>
    <xdr:to>
      <xdr:col>7</xdr:col>
      <xdr:colOff>1622092</xdr:colOff>
      <xdr:row>20</xdr:row>
      <xdr:rowOff>54068</xdr:rowOff>
    </xdr:to>
    <xdr:sp macro="" textlink="">
      <xdr:nvSpPr>
        <xdr:cNvPr id="23553" name="Text Box 1">
          <a:extLst>
            <a:ext uri="{FF2B5EF4-FFF2-40B4-BE49-F238E27FC236}">
              <a16:creationId xmlns:a16="http://schemas.microsoft.com/office/drawing/2014/main" id="{AFEDF018-D539-421B-BB89-6869F55BFE1E}"/>
            </a:ext>
          </a:extLst>
        </xdr:cNvPr>
        <xdr:cNvSpPr txBox="1">
          <a:spLocks noChangeArrowheads="1"/>
        </xdr:cNvSpPr>
      </xdr:nvSpPr>
      <xdr:spPr bwMode="auto">
        <a:xfrm>
          <a:off x="4772025" y="3790950"/>
          <a:ext cx="2609850" cy="266700"/>
        </a:xfrm>
        <a:prstGeom prst="rect">
          <a:avLst/>
        </a:prstGeom>
        <a:solidFill>
          <a:srgbClr val="FFFFFF"/>
        </a:solidFill>
        <a:ln w="57150" cmpd="thickThin">
          <a:solidFill>
            <a:srgbClr val="FF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Bladet skyddat utan lösenord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25400</xdr:colOff>
      <xdr:row>1</xdr:row>
      <xdr:rowOff>107950</xdr:rowOff>
    </xdr:from>
    <xdr:to>
      <xdr:col>14</xdr:col>
      <xdr:colOff>114300</xdr:colOff>
      <xdr:row>1</xdr:row>
      <xdr:rowOff>317500</xdr:rowOff>
    </xdr:to>
    <xdr:sp macro="" textlink="">
      <xdr:nvSpPr>
        <xdr:cNvPr id="14553" name="Text Box 17">
          <a:extLst>
            <a:ext uri="{FF2B5EF4-FFF2-40B4-BE49-F238E27FC236}">
              <a16:creationId xmlns:a16="http://schemas.microsoft.com/office/drawing/2014/main" id="{3AAF2EBD-3FE8-42B7-A67C-D7E6C1D2C410}"/>
            </a:ext>
          </a:extLst>
        </xdr:cNvPr>
        <xdr:cNvSpPr txBox="1">
          <a:spLocks noChangeArrowheads="1"/>
        </xdr:cNvSpPr>
      </xdr:nvSpPr>
      <xdr:spPr bwMode="auto">
        <a:xfrm>
          <a:off x="5524500" y="431800"/>
          <a:ext cx="88900" cy="20955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277495</xdr:colOff>
      <xdr:row>0</xdr:row>
      <xdr:rowOff>123825</xdr:rowOff>
    </xdr:from>
    <xdr:to>
      <xdr:col>19</xdr:col>
      <xdr:colOff>183871</xdr:colOff>
      <xdr:row>1</xdr:row>
      <xdr:rowOff>212</xdr:rowOff>
    </xdr:to>
    <xdr:sp macro="" textlink="">
      <xdr:nvSpPr>
        <xdr:cNvPr id="14368" name="Text Box 32">
          <a:extLst>
            <a:ext uri="{FF2B5EF4-FFF2-40B4-BE49-F238E27FC236}">
              <a16:creationId xmlns:a16="http://schemas.microsoft.com/office/drawing/2014/main" id="{ED1E558F-53AC-4307-AE37-111269ABF882}"/>
            </a:ext>
          </a:extLst>
        </xdr:cNvPr>
        <xdr:cNvSpPr txBox="1">
          <a:spLocks noChangeArrowheads="1"/>
        </xdr:cNvSpPr>
      </xdr:nvSpPr>
      <xdr:spPr bwMode="auto">
        <a:xfrm>
          <a:off x="5000625" y="123825"/>
          <a:ext cx="2409825" cy="200025"/>
        </a:xfrm>
        <a:prstGeom prst="rect">
          <a:avLst/>
        </a:prstGeom>
        <a:solidFill>
          <a:srgbClr val="FFFFFF"/>
        </a:solidFill>
        <a:ln w="57150" cmpd="thickThin">
          <a:solidFill>
            <a:srgbClr val="FF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Bladet skyddat utan lösenord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206058</xdr:colOff>
      <xdr:row>27</xdr:row>
      <xdr:rowOff>76200</xdr:rowOff>
    </xdr:from>
    <xdr:to>
      <xdr:col>11</xdr:col>
      <xdr:colOff>634122</xdr:colOff>
      <xdr:row>30</xdr:row>
      <xdr:rowOff>1905</xdr:rowOff>
    </xdr:to>
    <xdr:sp macro="" textlink="">
      <xdr:nvSpPr>
        <xdr:cNvPr id="24581" name="WordArt 5">
          <a:extLst>
            <a:ext uri="{FF2B5EF4-FFF2-40B4-BE49-F238E27FC236}">
              <a16:creationId xmlns:a16="http://schemas.microsoft.com/office/drawing/2014/main" id="{60D02F70-174C-421B-BA53-71976221B5AB}"/>
            </a:ext>
          </a:extLst>
        </xdr:cNvPr>
        <xdr:cNvSpPr>
          <a:spLocks noChangeArrowheads="1" noChangeShapeType="1" noTextEdit="1"/>
        </xdr:cNvSpPr>
      </xdr:nvSpPr>
      <xdr:spPr bwMode="auto">
        <a:xfrm rot="-2456992">
          <a:off x="647700" y="5010150"/>
          <a:ext cx="3362325" cy="5334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b="1" kern="10" spc="180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>
                  <a:alpha val="50000"/>
                </a:srgbClr>
              </a:solidFill>
              <a:effectLst/>
              <a:latin typeface="Arial"/>
              <a:cs typeface="Arial"/>
            </a:rPr>
            <a:t>Exempelmånad</a:t>
          </a:r>
        </a:p>
      </xdr:txBody>
    </xdr:sp>
    <xdr:clientData/>
  </xdr:twoCellAnchor>
  <xdr:twoCellAnchor>
    <xdr:from>
      <xdr:col>11</xdr:col>
      <xdr:colOff>797878</xdr:colOff>
      <xdr:row>32</xdr:row>
      <xdr:rowOff>47625</xdr:rowOff>
    </xdr:from>
    <xdr:to>
      <xdr:col>14</xdr:col>
      <xdr:colOff>389938</xdr:colOff>
      <xdr:row>35</xdr:row>
      <xdr:rowOff>3193</xdr:rowOff>
    </xdr:to>
    <xdr:sp macro="" textlink="">
      <xdr:nvSpPr>
        <xdr:cNvPr id="24582" name="Text Box 6">
          <a:extLst>
            <a:ext uri="{FF2B5EF4-FFF2-40B4-BE49-F238E27FC236}">
              <a16:creationId xmlns:a16="http://schemas.microsoft.com/office/drawing/2014/main" id="{6C30F8D9-34D0-4F33-A07B-CD22A702E801}"/>
            </a:ext>
          </a:extLst>
        </xdr:cNvPr>
        <xdr:cNvSpPr txBox="1">
          <a:spLocks noChangeArrowheads="1"/>
        </xdr:cNvSpPr>
      </xdr:nvSpPr>
      <xdr:spPr bwMode="auto">
        <a:xfrm>
          <a:off x="4171950" y="5981700"/>
          <a:ext cx="1457325" cy="5619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1" u="none" strike="noStrike" baseline="0">
              <a:solidFill>
                <a:srgbClr val="000000"/>
              </a:solidFill>
              <a:latin typeface="Geneva"/>
            </a:rPr>
            <a:t>Ange ledighetsorsaken här eftersom du inte får flexa kl 0900-1500</a:t>
          </a:r>
        </a:p>
      </xdr:txBody>
    </xdr:sp>
    <xdr:clientData/>
  </xdr:twoCellAnchor>
  <xdr:twoCellAnchor>
    <xdr:from>
      <xdr:col>8</xdr:col>
      <xdr:colOff>355600</xdr:colOff>
      <xdr:row>50</xdr:row>
      <xdr:rowOff>0</xdr:rowOff>
    </xdr:from>
    <xdr:to>
      <xdr:col>9</xdr:col>
      <xdr:colOff>88900</xdr:colOff>
      <xdr:row>51</xdr:row>
      <xdr:rowOff>69850</xdr:rowOff>
    </xdr:to>
    <xdr:sp macro="" textlink="">
      <xdr:nvSpPr>
        <xdr:cNvPr id="24961" name="Oval 7">
          <a:extLst>
            <a:ext uri="{FF2B5EF4-FFF2-40B4-BE49-F238E27FC236}">
              <a16:creationId xmlns:a16="http://schemas.microsoft.com/office/drawing/2014/main" id="{470E65DE-BF89-40E5-A747-BA97D1863DEC}"/>
            </a:ext>
          </a:extLst>
        </xdr:cNvPr>
        <xdr:cNvSpPr>
          <a:spLocks noChangeArrowheads="1"/>
        </xdr:cNvSpPr>
      </xdr:nvSpPr>
      <xdr:spPr bwMode="auto">
        <a:xfrm>
          <a:off x="2279650" y="9321800"/>
          <a:ext cx="273050" cy="247650"/>
        </a:xfrm>
        <a:prstGeom prst="ellipse">
          <a:avLst/>
        </a:prstGeom>
        <a:noFill/>
        <a:ln w="12700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795973</xdr:colOff>
      <xdr:row>24</xdr:row>
      <xdr:rowOff>155575</xdr:rowOff>
    </xdr:from>
    <xdr:to>
      <xdr:col>14</xdr:col>
      <xdr:colOff>347251</xdr:colOff>
      <xdr:row>28</xdr:row>
      <xdr:rowOff>47625</xdr:rowOff>
    </xdr:to>
    <xdr:sp macro="" textlink="">
      <xdr:nvSpPr>
        <xdr:cNvPr id="24585" name="Text Box 9">
          <a:extLst>
            <a:ext uri="{FF2B5EF4-FFF2-40B4-BE49-F238E27FC236}">
              <a16:creationId xmlns:a16="http://schemas.microsoft.com/office/drawing/2014/main" id="{60961F0C-C3F9-4E9D-A88E-C8755FE53AF2}"/>
            </a:ext>
          </a:extLst>
        </xdr:cNvPr>
        <xdr:cNvSpPr txBox="1">
          <a:spLocks noChangeArrowheads="1"/>
        </xdr:cNvSpPr>
      </xdr:nvSpPr>
      <xdr:spPr bwMode="auto">
        <a:xfrm>
          <a:off x="4162425" y="4495800"/>
          <a:ext cx="1428750" cy="6858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1" u="none" strike="noStrike" baseline="0">
              <a:solidFill>
                <a:srgbClr val="000000"/>
              </a:solidFill>
              <a:latin typeface="Geneva"/>
            </a:rPr>
            <a:t>För bl a föräldraledighet anger du aktuellt timantal i Ändrings-kolumnen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526415</xdr:colOff>
      <xdr:row>5</xdr:row>
      <xdr:rowOff>38100</xdr:rowOff>
    </xdr:from>
    <xdr:to>
      <xdr:col>10</xdr:col>
      <xdr:colOff>500680</xdr:colOff>
      <xdr:row>9</xdr:row>
      <xdr:rowOff>16025</xdr:rowOff>
    </xdr:to>
    <xdr:sp macro="" textlink="">
      <xdr:nvSpPr>
        <xdr:cNvPr id="25601" name="Text Box 1">
          <a:extLst>
            <a:ext uri="{FF2B5EF4-FFF2-40B4-BE49-F238E27FC236}">
              <a16:creationId xmlns:a16="http://schemas.microsoft.com/office/drawing/2014/main" id="{B1E5BAD9-D64B-4B5B-9181-17B5038F3916}"/>
            </a:ext>
          </a:extLst>
        </xdr:cNvPr>
        <xdr:cNvSpPr txBox="1">
          <a:spLocks noChangeArrowheads="1"/>
        </xdr:cNvSpPr>
      </xdr:nvSpPr>
      <xdr:spPr bwMode="auto">
        <a:xfrm>
          <a:off x="3409950" y="1409700"/>
          <a:ext cx="2676525" cy="742950"/>
        </a:xfrm>
        <a:prstGeom prst="rect">
          <a:avLst/>
        </a:prstGeom>
        <a:solidFill>
          <a:srgbClr val="FFFFFF"/>
        </a:solidFill>
        <a:ln w="57150" cmpd="thickThin">
          <a:solidFill>
            <a:srgbClr val="FF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Sidan är skrivskyddad !!!</a:t>
          </a: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Den är enbart en sammanställning över årets gångna dagar.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A1:M43"/>
  <sheetViews>
    <sheetView showGridLines="0" showRowColHeaders="0" tabSelected="1" zoomScale="80" workbookViewId="0">
      <selection activeCell="J24" sqref="J24"/>
    </sheetView>
  </sheetViews>
  <sheetFormatPr defaultColWidth="10.84375" defaultRowHeight="15"/>
  <cols>
    <col min="1" max="1" width="3.07421875" style="272" customWidth="1"/>
    <col min="2" max="2" width="19.15234375" style="272" customWidth="1"/>
    <col min="3" max="3" width="12.53515625" style="286" customWidth="1"/>
    <col min="4" max="4" width="6" style="286" customWidth="1"/>
    <col min="5" max="5" width="18.84375" style="286" customWidth="1"/>
    <col min="6" max="6" width="7.15234375" style="272" customWidth="1"/>
    <col min="7" max="7" width="13.84375" style="272" customWidth="1"/>
    <col min="8" max="8" width="5.07421875" style="272" customWidth="1"/>
    <col min="9" max="9" width="0.53515625" style="272" customWidth="1"/>
    <col min="10" max="16384" width="10.84375" style="272"/>
  </cols>
  <sheetData>
    <row r="1" spans="1:9" s="18" customFormat="1" ht="22.5" customHeight="1">
      <c r="A1" s="153"/>
      <c r="B1" s="19" t="s">
        <v>55</v>
      </c>
      <c r="C1" s="267"/>
      <c r="D1" s="267"/>
      <c r="E1" s="267"/>
      <c r="H1" s="268" t="str">
        <f>"Flextidsredovisning för år "&amp;årtal</f>
        <v>Flextidsredovisning för år 2024</v>
      </c>
    </row>
    <row r="2" spans="1:9" s="18" customFormat="1" ht="15" customHeight="1">
      <c r="A2" s="153"/>
      <c r="B2" s="153"/>
      <c r="C2" s="267"/>
      <c r="D2" s="267"/>
      <c r="E2" s="267"/>
      <c r="H2" s="268" t="s">
        <v>20</v>
      </c>
    </row>
    <row r="3" spans="1:9" s="30" customFormat="1" ht="7.5" customHeight="1">
      <c r="C3" s="269"/>
      <c r="D3" s="269"/>
      <c r="E3" s="269"/>
    </row>
    <row r="4" spans="1:9" s="30" customFormat="1" ht="12" customHeight="1">
      <c r="B4" s="30" t="s">
        <v>171</v>
      </c>
      <c r="C4" s="269"/>
      <c r="D4" s="269"/>
      <c r="E4" s="269"/>
    </row>
    <row r="5" spans="1:9" s="30" customFormat="1" ht="12" customHeight="1">
      <c r="B5" s="30" t="s">
        <v>180</v>
      </c>
      <c r="C5" s="269"/>
      <c r="D5" s="269"/>
      <c r="E5" s="269"/>
    </row>
    <row r="6" spans="1:9" s="30" customFormat="1" ht="17.25" customHeight="1">
      <c r="B6" s="30" t="s">
        <v>44</v>
      </c>
      <c r="C6" s="269"/>
      <c r="D6" s="269"/>
      <c r="E6" s="269"/>
    </row>
    <row r="7" spans="1:9" s="30" customFormat="1" ht="12" customHeight="1">
      <c r="B7" s="30" t="s">
        <v>60</v>
      </c>
      <c r="C7" s="269"/>
      <c r="D7" s="269"/>
      <c r="E7" s="269"/>
    </row>
    <row r="8" spans="1:9" s="30" customFormat="1" ht="17.25" customHeight="1">
      <c r="A8" s="270"/>
      <c r="B8" s="30" t="s">
        <v>56</v>
      </c>
      <c r="C8" s="271"/>
      <c r="D8" s="269"/>
      <c r="E8" s="269"/>
    </row>
    <row r="9" spans="1:9" s="30" customFormat="1" ht="12" customHeight="1">
      <c r="A9" s="270"/>
      <c r="B9" s="30" t="s">
        <v>152</v>
      </c>
      <c r="C9" s="269"/>
      <c r="D9" s="269"/>
      <c r="E9" s="269"/>
    </row>
    <row r="10" spans="1:9" s="30" customFormat="1" ht="12" customHeight="1">
      <c r="A10" s="270"/>
      <c r="B10" s="30" t="s">
        <v>40</v>
      </c>
      <c r="C10" s="269"/>
      <c r="D10" s="269"/>
      <c r="E10" s="269"/>
    </row>
    <row r="11" spans="1:9" s="30" customFormat="1" ht="16.5" customHeight="1">
      <c r="B11" s="30" t="s">
        <v>147</v>
      </c>
      <c r="C11" s="269"/>
      <c r="D11" s="269"/>
      <c r="E11" s="269"/>
    </row>
    <row r="12" spans="1:9" s="30" customFormat="1" ht="12" customHeight="1">
      <c r="B12" s="30" t="s">
        <v>66</v>
      </c>
      <c r="C12" s="269"/>
      <c r="D12" s="269"/>
      <c r="E12" s="269"/>
    </row>
    <row r="13" spans="1:9" s="30" customFormat="1" ht="16.5" customHeight="1">
      <c r="B13" s="30" t="s">
        <v>96</v>
      </c>
      <c r="C13" s="269"/>
      <c r="D13" s="269"/>
      <c r="E13" s="269"/>
    </row>
    <row r="14" spans="1:9" s="30" customFormat="1" ht="12" customHeight="1">
      <c r="B14" s="30" t="s">
        <v>97</v>
      </c>
      <c r="C14" s="269"/>
      <c r="D14" s="269"/>
      <c r="E14" s="269"/>
    </row>
    <row r="15" spans="1:9" s="30" customFormat="1" ht="9" customHeight="1" thickBot="1">
      <c r="C15" s="269"/>
      <c r="D15" s="269"/>
      <c r="E15" s="269"/>
    </row>
    <row r="16" spans="1:9" ht="15.45">
      <c r="A16" s="107"/>
      <c r="B16" s="493" t="s">
        <v>73</v>
      </c>
      <c r="C16" s="527"/>
      <c r="D16" s="528"/>
      <c r="E16" s="528"/>
      <c r="F16" s="528"/>
      <c r="G16" s="528"/>
      <c r="H16" s="528"/>
      <c r="I16" s="302"/>
    </row>
    <row r="17" spans="1:13" ht="15.45">
      <c r="A17" s="107"/>
      <c r="B17" s="493" t="s">
        <v>72</v>
      </c>
      <c r="C17" s="525"/>
      <c r="D17" s="526"/>
      <c r="E17" s="493" t="s">
        <v>3</v>
      </c>
      <c r="F17" s="310"/>
      <c r="G17" s="496" t="s">
        <v>61</v>
      </c>
      <c r="I17" s="274"/>
      <c r="M17" s="275"/>
    </row>
    <row r="18" spans="1:13" ht="15.45">
      <c r="A18" s="107"/>
      <c r="B18" s="493" t="s">
        <v>29</v>
      </c>
      <c r="C18" s="494" t="s">
        <v>4</v>
      </c>
      <c r="D18" s="300"/>
      <c r="E18" s="495" t="s">
        <v>2</v>
      </c>
      <c r="F18" s="301"/>
      <c r="G18" s="495" t="s">
        <v>5</v>
      </c>
      <c r="H18" s="276">
        <f>IF(D18=0+N("om all årets semester är uttagen"),F18,D18+F18)</f>
        <v>0</v>
      </c>
      <c r="I18" s="274"/>
    </row>
    <row r="19" spans="1:13" ht="15.45">
      <c r="A19" s="107"/>
      <c r="B19" s="493"/>
      <c r="C19" s="506" t="s">
        <v>185</v>
      </c>
      <c r="D19" s="507"/>
      <c r="E19" s="495"/>
      <c r="F19" s="276"/>
      <c r="G19" s="495"/>
      <c r="H19" s="276"/>
      <c r="I19" s="274"/>
    </row>
    <row r="20" spans="1:13" ht="15.45">
      <c r="B20" s="493" t="s">
        <v>32</v>
      </c>
      <c r="C20" s="529"/>
      <c r="D20" s="530"/>
      <c r="E20" s="530"/>
      <c r="F20" s="530"/>
      <c r="G20" s="530"/>
      <c r="H20" s="530"/>
      <c r="I20" s="365"/>
      <c r="L20" s="281"/>
    </row>
    <row r="21" spans="1:13" ht="15.45">
      <c r="A21" s="107"/>
      <c r="B21" s="493" t="s">
        <v>21</v>
      </c>
      <c r="C21" s="303">
        <v>1</v>
      </c>
      <c r="D21" s="277"/>
      <c r="E21" s="278"/>
      <c r="F21" s="273"/>
      <c r="I21" s="274"/>
    </row>
    <row r="22" spans="1:13" ht="15.9" thickBot="1">
      <c r="A22" s="107"/>
      <c r="B22" s="493" t="s">
        <v>70</v>
      </c>
      <c r="C22" s="407">
        <v>43830</v>
      </c>
      <c r="D22" s="279"/>
      <c r="E22" s="351"/>
      <c r="F22" s="497" t="s">
        <v>71</v>
      </c>
      <c r="G22" s="447">
        <v>44195</v>
      </c>
      <c r="H22" s="280"/>
      <c r="I22" s="274"/>
    </row>
    <row r="23" spans="1:13" s="364" customFormat="1" ht="14.15">
      <c r="C23" s="531" t="s">
        <v>7</v>
      </c>
      <c r="D23" s="532"/>
      <c r="E23" s="470" t="s">
        <v>64</v>
      </c>
      <c r="F23" s="533" t="s">
        <v>162</v>
      </c>
      <c r="G23" s="534"/>
      <c r="H23" s="534"/>
      <c r="I23" s="367"/>
      <c r="L23" s="366"/>
    </row>
    <row r="24" spans="1:13" s="12" customFormat="1" ht="9.75" customHeight="1">
      <c r="B24" s="115"/>
      <c r="C24" s="294"/>
      <c r="D24" s="294"/>
      <c r="E24" s="294"/>
    </row>
    <row r="25" spans="1:13" s="12" customFormat="1" ht="15" customHeight="1">
      <c r="A25"/>
      <c r="B25" s="297" t="s">
        <v>182</v>
      </c>
      <c r="C25" s="294"/>
      <c r="D25" s="294"/>
      <c r="E25" s="294"/>
    </row>
    <row r="26" spans="1:13" s="12" customFormat="1" ht="15" customHeight="1">
      <c r="A26" s="177"/>
      <c r="B26" s="297" t="s">
        <v>115</v>
      </c>
      <c r="C26" s="294"/>
      <c r="D26" s="294"/>
      <c r="E26" s="294"/>
    </row>
    <row r="27" spans="1:13" s="12" customFormat="1" ht="15" customHeight="1">
      <c r="A27" s="522" t="str">
        <f>Felinfo!H4</f>
        <v>Flex 99:02B • huk-51 • ©</v>
      </c>
      <c r="B27" s="368" t="s">
        <v>181</v>
      </c>
      <c r="C27" s="294"/>
      <c r="D27" s="294"/>
      <c r="E27" s="294"/>
    </row>
    <row r="28" spans="1:13" s="1" customFormat="1" ht="15.75" customHeight="1">
      <c r="A28" s="523"/>
      <c r="B28" s="1" t="s">
        <v>67</v>
      </c>
      <c r="C28" s="295"/>
      <c r="D28" s="296"/>
      <c r="E28" s="296"/>
    </row>
    <row r="29" spans="1:13" s="1" customFormat="1" ht="13.5" customHeight="1">
      <c r="A29" s="523"/>
      <c r="B29" s="1" t="s">
        <v>172</v>
      </c>
      <c r="C29" s="296"/>
      <c r="D29" s="296"/>
      <c r="E29" s="296"/>
    </row>
    <row r="30" spans="1:13" s="1" customFormat="1" ht="13.5" customHeight="1">
      <c r="A30" s="523"/>
      <c r="B30" s="1" t="s">
        <v>146</v>
      </c>
      <c r="C30" s="296"/>
      <c r="D30" s="296"/>
      <c r="E30" s="296"/>
    </row>
    <row r="31" spans="1:13" s="1" customFormat="1" ht="11.25" customHeight="1">
      <c r="A31" s="523"/>
      <c r="C31" s="296"/>
      <c r="D31" s="296"/>
      <c r="E31" s="296"/>
    </row>
    <row r="32" spans="1:13" s="1" customFormat="1" ht="14.25" customHeight="1">
      <c r="A32" s="523"/>
      <c r="B32" s="297"/>
      <c r="C32" s="298"/>
      <c r="D32" s="298"/>
      <c r="E32" s="524"/>
      <c r="F32" s="524"/>
      <c r="I32" s="115"/>
      <c r="J32" s="115"/>
    </row>
    <row r="33" spans="1:10" s="1" customFormat="1" ht="12" customHeight="1">
      <c r="A33" s="523"/>
      <c r="B33" s="166"/>
      <c r="C33" s="166"/>
      <c r="D33" s="299"/>
      <c r="E33" s="299"/>
      <c r="F33" s="166"/>
      <c r="G33" s="166"/>
      <c r="H33" s="166"/>
      <c r="I33" s="166"/>
      <c r="J33" s="166"/>
    </row>
    <row r="34" spans="1:10" s="1" customFormat="1" ht="24" customHeight="1">
      <c r="A34" s="523"/>
      <c r="B34" s="297" t="s">
        <v>176</v>
      </c>
      <c r="C34" s="269"/>
      <c r="D34" s="269"/>
      <c r="E34" s="269"/>
      <c r="F34" s="30"/>
      <c r="G34" s="30"/>
      <c r="H34" s="30"/>
      <c r="I34" s="30"/>
      <c r="J34" s="30"/>
    </row>
    <row r="35" spans="1:10" s="1" customFormat="1" ht="12" customHeight="1">
      <c r="A35" s="177"/>
      <c r="B35" s="17"/>
      <c r="C35" s="283"/>
      <c r="D35" s="284"/>
      <c r="E35" s="284"/>
      <c r="F35" s="17"/>
      <c r="G35" s="17"/>
      <c r="H35" s="17"/>
      <c r="I35" s="17"/>
      <c r="J35" s="17"/>
    </row>
    <row r="36" spans="1:10" s="115" customFormat="1" ht="18.75" customHeight="1">
      <c r="A36" s="177"/>
      <c r="B36" s="17"/>
      <c r="C36" s="283"/>
      <c r="D36" s="284"/>
      <c r="E36" s="284"/>
      <c r="F36" s="17"/>
      <c r="G36" s="17"/>
      <c r="H36" s="17"/>
      <c r="I36" s="17"/>
      <c r="J36" s="17"/>
    </row>
    <row r="37" spans="1:10" s="166" customFormat="1" ht="12.75" customHeight="1">
      <c r="A37" s="177"/>
      <c r="B37" s="17"/>
      <c r="C37" s="283"/>
      <c r="D37" s="284"/>
      <c r="E37" s="284"/>
      <c r="F37" s="17"/>
      <c r="G37" s="17"/>
      <c r="H37" s="17"/>
      <c r="I37" s="17"/>
      <c r="J37" s="17"/>
    </row>
    <row r="38" spans="1:10" s="30" customFormat="1">
      <c r="B38" s="17"/>
      <c r="C38" s="285"/>
      <c r="D38" s="284"/>
      <c r="E38" s="284"/>
      <c r="F38" s="17"/>
      <c r="G38" s="17"/>
      <c r="H38" s="17"/>
      <c r="I38" s="17"/>
      <c r="J38" s="17"/>
    </row>
    <row r="39" spans="1:10" s="17" customFormat="1">
      <c r="C39" s="285"/>
      <c r="D39" s="284"/>
      <c r="E39" s="284"/>
    </row>
    <row r="40" spans="1:10" s="17" customFormat="1">
      <c r="B40" s="272"/>
      <c r="C40" s="286"/>
      <c r="D40" s="286"/>
      <c r="E40" s="286"/>
      <c r="F40" s="272"/>
      <c r="G40" s="272"/>
      <c r="H40" s="272"/>
      <c r="I40" s="272"/>
      <c r="J40" s="272"/>
    </row>
    <row r="41" spans="1:10" s="17" customFormat="1">
      <c r="B41" s="272"/>
      <c r="C41" s="286"/>
      <c r="D41" s="286"/>
      <c r="E41" s="286"/>
      <c r="F41" s="272"/>
      <c r="G41" s="272"/>
      <c r="H41" s="272"/>
      <c r="I41" s="272"/>
      <c r="J41" s="272"/>
    </row>
    <row r="42" spans="1:10" s="17" customFormat="1">
      <c r="B42" s="272"/>
      <c r="C42" s="286"/>
      <c r="D42" s="286"/>
      <c r="E42" s="286"/>
      <c r="F42" s="272"/>
      <c r="G42" s="272"/>
      <c r="H42" s="272"/>
      <c r="I42" s="272"/>
      <c r="J42" s="272"/>
    </row>
    <row r="43" spans="1:10" s="17" customFormat="1">
      <c r="B43" s="272"/>
      <c r="C43" s="286"/>
      <c r="D43" s="286"/>
      <c r="E43" s="286"/>
      <c r="F43" s="272"/>
      <c r="G43" s="272"/>
      <c r="H43" s="272"/>
      <c r="I43" s="272"/>
      <c r="J43" s="272"/>
    </row>
  </sheetData>
  <sheetProtection algorithmName="SHA-512" hashValue="WEBJ2oIFbjeoOPeaWsy9tgakvYncojYDkVTtveAtKSppWKG3Dv05J8uwyagRThysRLAk/mVf6LCO+ojDYqvqHg==" saltValue="KPTbw8p08xsl7IsFBwV5Mw==" spinCount="100000" sheet="1"/>
  <mergeCells count="7">
    <mergeCell ref="A27:A34"/>
    <mergeCell ref="E32:F32"/>
    <mergeCell ref="C17:D17"/>
    <mergeCell ref="C16:H16"/>
    <mergeCell ref="C20:H20"/>
    <mergeCell ref="C23:D23"/>
    <mergeCell ref="F23:H23"/>
  </mergeCells>
  <phoneticPr fontId="0" type="noConversion"/>
  <dataValidations xWindow="241" yWindow="389" count="4">
    <dataValidation type="decimal" errorStyle="warning" allowBlank="1" showInputMessage="1" showErrorMessage="1" error="Du får normalt flytta över max 30 tim från december!" promptTitle="Ditt ingående flexsaldo" prompt="fyller du bara i vid nyår eller ändrad tjänste-omfattning!_x000a__x000a_Inget saldo anger du som 0,00!" sqref="F17" xr:uid="{00000000-0002-0000-0000-000000000000}">
      <formula1>-30</formula1>
      <formula2>30</formula2>
    </dataValidation>
    <dataValidation allowBlank="1" showInputMessage="1" showErrorMessage="1" prompt="Ändra denna ruta bara om annat datum gäller!" sqref="G22 C22" xr:uid="{00000000-0002-0000-0000-000001000000}"/>
    <dataValidation type="whole" errorStyle="warning" operator="lessThanOrEqual" allowBlank="1" showInputMessage="1" showErrorMessage="1" error="Du får ha max 40 sparade dagar!" sqref="F18:F19" xr:uid="{00000000-0002-0000-0000-000002000000}">
      <formula1>40</formula1>
    </dataValidation>
    <dataValidation allowBlank="1" showInputMessage="1" showErrorMessage="1" promptTitle="Startruta" prompt="Fyll i ditt namn och flytta sedan mel-lan fälten med tab-tangenten!" sqref="C16:H16" xr:uid="{00000000-0002-0000-0000-000003000000}"/>
  </dataValidations>
  <pageMargins left="0.75" right="0.75" top="0.45" bottom="0.54" header="0.4" footer="0.39"/>
  <pageSetup paperSize="9" orientation="landscape" horizontalDpi="1200" verticalDpi="1200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Blad422712">
    <pageSetUpPr fitToPage="1"/>
  </sheetPr>
  <dimension ref="A1:P62"/>
  <sheetViews>
    <sheetView showGridLines="0" showRowColHeaders="0" showZeros="0" topLeftCell="A9" zoomScale="80" workbookViewId="0">
      <pane ySplit="5" topLeftCell="A14" activePane="bottomLeft" state="frozenSplit"/>
      <selection activeCell="P9" sqref="P1:P65536"/>
      <selection pane="bottomLeft" activeCell="J15" sqref="J15"/>
    </sheetView>
  </sheetViews>
  <sheetFormatPr defaultColWidth="11.3828125" defaultRowHeight="12.45"/>
  <cols>
    <col min="1" max="1" width="2.84375" style="269" customWidth="1"/>
    <col min="2" max="2" width="8.84375" style="318" hidden="1" customWidth="1"/>
    <col min="3" max="3" width="4.53515625" style="320" hidden="1" customWidth="1"/>
    <col min="4" max="4" width="11.3828125" style="354" hidden="1" customWidth="1"/>
    <col min="5" max="5" width="8.3828125" style="354" hidden="1" customWidth="1"/>
    <col min="6" max="6" width="7.15234375" style="30" hidden="1" customWidth="1"/>
    <col min="7" max="7" width="1.53515625" style="30" hidden="1" customWidth="1"/>
    <col min="8" max="8" width="4.3828125" style="1" customWidth="1"/>
    <col min="9" max="9" width="7.53515625" style="1" customWidth="1"/>
    <col min="10" max="13" width="8.15234375" style="6" customWidth="1"/>
    <col min="14" max="14" width="11.07421875" style="8" customWidth="1"/>
    <col min="15" max="15" width="36.15234375" style="1" customWidth="1"/>
    <col min="16" max="16" width="11.15234375" style="1" customWidth="1"/>
    <col min="17" max="16384" width="11.3828125" style="1"/>
  </cols>
  <sheetData>
    <row r="1" spans="1:16" s="12" customFormat="1" ht="16" customHeight="1">
      <c r="A1" s="21" t="s">
        <v>30</v>
      </c>
      <c r="B1" s="315"/>
      <c r="C1" s="315"/>
      <c r="D1" s="272"/>
      <c r="E1" s="272"/>
      <c r="F1" s="272"/>
      <c r="G1" s="272"/>
      <c r="P1" s="174" t="s">
        <v>31</v>
      </c>
    </row>
    <row r="2" spans="1:16" s="115" customFormat="1" ht="14.25" customHeight="1">
      <c r="A2" s="145">
        <f>inst</f>
        <v>0</v>
      </c>
      <c r="B2" s="317"/>
      <c r="C2" s="317"/>
      <c r="D2" s="145"/>
      <c r="E2" s="145"/>
      <c r="F2" s="145"/>
      <c r="G2" s="145"/>
    </row>
    <row r="3" spans="1:16" s="166" customFormat="1" ht="15.75" customHeight="1">
      <c r="A3" s="17"/>
      <c r="B3" s="318"/>
      <c r="C3" s="318"/>
      <c r="D3" s="17"/>
      <c r="E3" s="17"/>
      <c r="F3" s="17"/>
      <c r="G3" s="17"/>
      <c r="L3" s="175"/>
    </row>
    <row r="4" spans="1:16" s="166" customFormat="1" ht="15.75" customHeight="1">
      <c r="A4" s="17"/>
      <c r="B4" s="318"/>
      <c r="C4" s="318"/>
      <c r="D4" s="176"/>
      <c r="E4" s="176"/>
      <c r="F4" s="17"/>
      <c r="G4" s="17"/>
      <c r="H4" s="17"/>
      <c r="I4" s="17"/>
      <c r="J4" s="17"/>
      <c r="K4" s="17"/>
      <c r="L4" s="17"/>
      <c r="M4" s="17"/>
      <c r="N4" s="17"/>
      <c r="O4" s="176" t="s">
        <v>34</v>
      </c>
      <c r="P4" s="32">
        <f>H14</f>
        <v>43921</v>
      </c>
    </row>
    <row r="5" spans="1:16" s="166" customFormat="1" ht="15.75" customHeight="1">
      <c r="A5" s="17"/>
      <c r="B5" s="318"/>
      <c r="C5" s="318"/>
      <c r="D5" s="176"/>
      <c r="E5" s="176"/>
      <c r="F5" s="17"/>
      <c r="G5" s="17"/>
      <c r="H5" s="17"/>
      <c r="I5" s="17"/>
      <c r="J5" s="17"/>
      <c r="K5" s="17"/>
      <c r="L5" s="17"/>
      <c r="M5" s="17"/>
      <c r="N5" s="17"/>
      <c r="O5" s="176" t="s">
        <v>33</v>
      </c>
      <c r="P5" s="33">
        <f>H14</f>
        <v>43921</v>
      </c>
    </row>
    <row r="6" spans="1:16" s="166" customFormat="1" ht="15.75" customHeight="1">
      <c r="A6" s="17"/>
      <c r="B6" s="17"/>
      <c r="C6" s="318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6" ht="12.75" customHeight="1" thickBot="1">
      <c r="H7" s="422" t="s">
        <v>73</v>
      </c>
      <c r="I7" s="423"/>
      <c r="J7" s="423"/>
      <c r="K7" s="423"/>
      <c r="L7" s="423"/>
      <c r="M7" s="423"/>
      <c r="N7" s="422" t="s">
        <v>74</v>
      </c>
      <c r="O7" s="422" t="s">
        <v>72</v>
      </c>
      <c r="P7" s="424"/>
    </row>
    <row r="8" spans="1:16" s="2" customFormat="1" ht="17.25" customHeight="1" thickBot="1">
      <c r="A8" s="269"/>
      <c r="B8" s="318"/>
      <c r="C8" s="321"/>
      <c r="D8" s="453" t="s">
        <v>120</v>
      </c>
      <c r="E8" s="392">
        <f ca="1">INT((LEN(fel_1)+LEN(fel_2)+LEN(fel_3))/60)+COUNTIF(B14:C38,"1")</f>
        <v>3</v>
      </c>
      <c r="F8" s="323"/>
      <c r="G8" s="323"/>
      <c r="H8" s="39" t="str">
        <f>IF(namn&lt;&gt;"","  "&amp;namn,"")</f>
        <v/>
      </c>
      <c r="I8" s="40"/>
      <c r="J8" s="41"/>
      <c r="K8" s="41"/>
      <c r="L8" s="41"/>
      <c r="M8" s="41"/>
      <c r="N8" s="180">
        <f>tjänst</f>
        <v>1</v>
      </c>
      <c r="O8" s="42" t="str">
        <f>IF(p_nr&lt;&gt;"","  "&amp;p_nr,"")</f>
        <v/>
      </c>
      <c r="P8" s="287"/>
    </row>
    <row r="9" spans="1:16" s="2" customFormat="1" ht="3" customHeight="1">
      <c r="A9" s="269"/>
      <c r="B9" s="454"/>
      <c r="C9" s="455"/>
      <c r="D9" s="436"/>
      <c r="E9" s="436"/>
      <c r="F9" s="436"/>
      <c r="G9" s="402"/>
      <c r="H9" s="415"/>
      <c r="I9" s="415"/>
      <c r="J9" s="415"/>
      <c r="K9" s="415"/>
      <c r="L9" s="415"/>
      <c r="M9" s="415"/>
      <c r="N9" s="416"/>
      <c r="O9" s="417"/>
      <c r="P9" s="418"/>
    </row>
    <row r="10" spans="1:16" s="14" customFormat="1" ht="12.75" customHeight="1">
      <c r="A10" s="324"/>
      <c r="B10" s="559" t="s">
        <v>135</v>
      </c>
      <c r="C10" s="560"/>
      <c r="D10" s="437" t="s">
        <v>119</v>
      </c>
      <c r="E10" s="437" t="s">
        <v>121</v>
      </c>
      <c r="F10" s="438" t="s">
        <v>116</v>
      </c>
      <c r="G10" s="390"/>
      <c r="H10" s="409" t="s">
        <v>88</v>
      </c>
      <c r="I10" s="409" t="s">
        <v>39</v>
      </c>
      <c r="J10" s="410" t="s">
        <v>14</v>
      </c>
      <c r="K10" s="410" t="s">
        <v>15</v>
      </c>
      <c r="L10" s="410" t="s">
        <v>15</v>
      </c>
      <c r="M10" s="410" t="s">
        <v>14</v>
      </c>
      <c r="N10" s="411" t="s">
        <v>145</v>
      </c>
      <c r="O10" s="409" t="s">
        <v>76</v>
      </c>
      <c r="P10" s="412" t="s">
        <v>77</v>
      </c>
    </row>
    <row r="11" spans="1:16" s="14" customFormat="1" ht="12.75" customHeight="1">
      <c r="A11" s="324"/>
      <c r="B11" s="439" t="s">
        <v>118</v>
      </c>
      <c r="C11" s="456" t="s">
        <v>101</v>
      </c>
      <c r="D11" s="437" t="s">
        <v>118</v>
      </c>
      <c r="E11" s="437" t="s">
        <v>122</v>
      </c>
      <c r="F11" s="439" t="s">
        <v>117</v>
      </c>
      <c r="G11" s="391"/>
      <c r="H11" s="409" t="s">
        <v>9</v>
      </c>
      <c r="I11" s="409" t="s">
        <v>10</v>
      </c>
      <c r="J11" s="413" t="s">
        <v>16</v>
      </c>
      <c r="K11" s="414" t="s">
        <v>16</v>
      </c>
      <c r="L11" s="414" t="s">
        <v>17</v>
      </c>
      <c r="M11" s="410" t="s">
        <v>18</v>
      </c>
      <c r="N11" s="419" t="str">
        <f ca="1">IF(INFO("system")="mac","tim.minut","tim:minut")</f>
        <v>tim:minut</v>
      </c>
      <c r="O11" s="420" t="s">
        <v>164</v>
      </c>
      <c r="P11" s="421" t="s">
        <v>161</v>
      </c>
    </row>
    <row r="12" spans="1:16" s="2" customFormat="1" ht="3" customHeight="1">
      <c r="A12" s="269"/>
      <c r="B12" s="439"/>
      <c r="C12" s="456"/>
      <c r="D12" s="439"/>
      <c r="E12" s="439"/>
      <c r="F12" s="439"/>
      <c r="G12" s="402"/>
      <c r="H12" s="409"/>
      <c r="I12" s="409"/>
      <c r="J12" s="409"/>
      <c r="K12" s="409"/>
      <c r="L12" s="409"/>
      <c r="M12" s="409"/>
      <c r="N12" s="425"/>
      <c r="O12" s="412"/>
      <c r="P12" s="426"/>
    </row>
    <row r="13" spans="1:16" s="172" customFormat="1" ht="18" customHeight="1" thickBot="1">
      <c r="A13" s="329"/>
      <c r="B13" s="449" t="s">
        <v>10</v>
      </c>
      <c r="C13" s="457" t="s">
        <v>102</v>
      </c>
      <c r="D13" s="448" t="s">
        <v>22</v>
      </c>
      <c r="E13" s="448" t="s">
        <v>123</v>
      </c>
      <c r="F13" s="449" t="s">
        <v>142</v>
      </c>
      <c r="G13" s="401"/>
      <c r="H13" s="167" t="str">
        <f>IF(LEN(J13)&gt;0,"  INFO:","")</f>
        <v xml:space="preserve">  INFO:</v>
      </c>
      <c r="I13" s="168"/>
      <c r="J13" s="544" t="str">
        <f>IF(LEN(fel_1)&gt;0,fel_1,IF(LEN(fel_2)&gt;0,fel_2,IF(LEN(fel_3)&gt;0,fel_3,IF(LEN(fel_4)&gt;0,fel_4,IF(SUMIF(B14:B44,"&gt;0"),semfel_1&amp;TEXT(VLOOKUP(1,B14:P44,7),"D MMM")&amp;semfel_2,IF(COUNTIF(C14:C44,"1"),ändr_fel,""))))))</f>
        <v>Du har glömt ange namn och/eller personnr på fliken "Grunddata"!</v>
      </c>
      <c r="K13" s="545"/>
      <c r="L13" s="545"/>
      <c r="M13" s="545"/>
      <c r="N13" s="545"/>
      <c r="O13" s="545"/>
      <c r="P13" s="171" t="str">
        <f ca="1">IF(E8&gt;1,"Tot. "&amp;E8&amp;" fel","")</f>
        <v>Tot. 3 fel</v>
      </c>
    </row>
    <row r="14" spans="1:16" ht="17.25" customHeight="1">
      <c r="A14" s="334"/>
      <c r="B14" s="479" t="str">
        <f t="shared" ref="B14:B44" ca="1" si="0">IF(AND(F14="ej sem",OR(LEFT(O14,3)="sem",LEFT(O14,4)="sjuk")),1,"")</f>
        <v/>
      </c>
      <c r="C14" s="480" t="str">
        <f t="shared" ref="C14:C44" ca="1" si="1">IF(NOT(ISERROR(E14)),"",IF(N14&lt;&gt;"",IF(ERROR.TYPE(E14)=3,1,),))</f>
        <v/>
      </c>
      <c r="D14" s="388">
        <f t="shared" ref="D14:D44" ca="1" si="2">IF(TODAY()&gt;=H14,IF(AND(LEFT(O14,3)="SEM",F14&lt;&gt;"ej sem"),1,IF(AND(LEFT(O14,4)="sjuk",F14&lt;&gt;"ej sem"),100,0)),0)</f>
        <v>0</v>
      </c>
      <c r="E14" s="381">
        <f t="shared" ref="E14:E44" ca="1" si="3">IF(AND(TODAY()&gt;=H14,F14&gt;0,OR(J14&gt;0,L14&gt;0,N14&lt;&gt;0)),((M14-L14+K14-J14)+IF(ISBLANK(N14),0,IF(LEFT(N14,1)="-",-TIMEVALUE(RIGHT(N14,LEN(N14)-1)),IF(LEFT(N14,1)="+",TIMEVALUE(RIGHT(N14,LEN(N14)-1)),TIMEVALUE(N14)))))*24,IF(OR(D14=1,D14=100),F14*tjänst,0))</f>
        <v>0</v>
      </c>
      <c r="F14" s="183">
        <f ca="1">IF(AND(H14&gt;=startdag,H14&lt;=slutdag),IF(TODAY()&gt;=H14,Normtid!M5,0),0)</f>
        <v>0</v>
      </c>
      <c r="G14" s="403"/>
      <c r="H14" s="375">
        <f>Normtid!L5</f>
        <v>43921</v>
      </c>
      <c r="I14" s="376" t="str">
        <f t="shared" ref="I14:I43" si="4">PROPER(TEXT(WEEKDAY(H14)+1,"DDD"))</f>
        <v>Mån</v>
      </c>
      <c r="J14" s="377"/>
      <c r="K14" s="377"/>
      <c r="L14" s="377"/>
      <c r="M14" s="378"/>
      <c r="N14" s="379"/>
      <c r="O14" s="380" t="str">
        <f>Normtid!$N5</f>
        <v>Annandag påsk</v>
      </c>
      <c r="P14" s="381">
        <f t="shared" ref="P14:P44" ca="1" si="5">IF(E14&lt;&gt;0,E14,0)</f>
        <v>0</v>
      </c>
    </row>
    <row r="15" spans="1:16" ht="15.75" customHeight="1">
      <c r="B15" s="460" t="str">
        <f t="shared" ca="1" si="0"/>
        <v/>
      </c>
      <c r="C15" s="461" t="str">
        <f t="shared" ca="1" si="1"/>
        <v/>
      </c>
      <c r="D15" s="195">
        <f t="shared" ca="1" si="2"/>
        <v>0</v>
      </c>
      <c r="E15" s="196">
        <f t="shared" ca="1" si="3"/>
        <v>0</v>
      </c>
      <c r="F15" s="191">
        <f ca="1">IF(AND(H15&gt;=startdag,H15&lt;=slutdag),IF(TODAY()&gt;=H15,Normtid!M6,0),0)</f>
        <v>0</v>
      </c>
      <c r="G15" s="403"/>
      <c r="H15" s="189">
        <f>Normtid!L6</f>
        <v>43922</v>
      </c>
      <c r="I15" s="190" t="str">
        <f t="shared" si="4"/>
        <v>Tis</v>
      </c>
      <c r="J15" s="192"/>
      <c r="K15" s="192"/>
      <c r="L15" s="192"/>
      <c r="M15" s="202"/>
      <c r="N15" s="383"/>
      <c r="O15" s="194" t="str">
        <f>Normtid!$N6</f>
        <v/>
      </c>
      <c r="P15" s="196">
        <f t="shared" ca="1" si="5"/>
        <v>0</v>
      </c>
    </row>
    <row r="16" spans="1:16" ht="15.75" customHeight="1">
      <c r="B16" s="462" t="str">
        <f t="shared" ca="1" si="0"/>
        <v/>
      </c>
      <c r="C16" s="463" t="str">
        <f t="shared" ca="1" si="1"/>
        <v/>
      </c>
      <c r="D16" s="388">
        <f t="shared" ca="1" si="2"/>
        <v>0</v>
      </c>
      <c r="E16" s="188">
        <f t="shared" ca="1" si="3"/>
        <v>0</v>
      </c>
      <c r="F16" s="183">
        <f ca="1">IF(AND(H16&gt;=startdag,H16&lt;=slutdag),IF(TODAY()&gt;=H16,Normtid!M7,0),0)</f>
        <v>0</v>
      </c>
      <c r="G16" s="403"/>
      <c r="H16" s="181">
        <f>Normtid!L7</f>
        <v>43923</v>
      </c>
      <c r="I16" s="182" t="str">
        <f t="shared" si="4"/>
        <v>Ons</v>
      </c>
      <c r="J16" s="184"/>
      <c r="K16" s="184"/>
      <c r="L16" s="184"/>
      <c r="M16" s="204"/>
      <c r="N16" s="379"/>
      <c r="O16" s="186" t="str">
        <f>Normtid!$N7</f>
        <v/>
      </c>
      <c r="P16" s="188">
        <f t="shared" ca="1" si="5"/>
        <v>0</v>
      </c>
    </row>
    <row r="17" spans="2:16" ht="15.75" customHeight="1">
      <c r="B17" s="460" t="str">
        <f t="shared" ca="1" si="0"/>
        <v/>
      </c>
      <c r="C17" s="461" t="str">
        <f t="shared" ca="1" si="1"/>
        <v/>
      </c>
      <c r="D17" s="195">
        <f t="shared" ca="1" si="2"/>
        <v>0</v>
      </c>
      <c r="E17" s="196">
        <f t="shared" ca="1" si="3"/>
        <v>0</v>
      </c>
      <c r="F17" s="191">
        <f ca="1">IF(AND(H17&gt;=startdag,H17&lt;=slutdag),IF(TODAY()&gt;=H17,Normtid!M8,0),0)</f>
        <v>0</v>
      </c>
      <c r="G17" s="403"/>
      <c r="H17" s="189">
        <f>Normtid!L8</f>
        <v>43924</v>
      </c>
      <c r="I17" s="190" t="str">
        <f t="shared" si="4"/>
        <v>Tor</v>
      </c>
      <c r="J17" s="192"/>
      <c r="K17" s="192"/>
      <c r="L17" s="192"/>
      <c r="M17" s="202"/>
      <c r="N17" s="383"/>
      <c r="O17" s="194" t="str">
        <f>Normtid!$N8</f>
        <v/>
      </c>
      <c r="P17" s="196">
        <f t="shared" ca="1" si="5"/>
        <v>0</v>
      </c>
    </row>
    <row r="18" spans="2:16" ht="15.75" customHeight="1">
      <c r="B18" s="462" t="str">
        <f t="shared" ca="1" si="0"/>
        <v/>
      </c>
      <c r="C18" s="463" t="str">
        <f t="shared" ca="1" si="1"/>
        <v/>
      </c>
      <c r="D18" s="388">
        <f t="shared" ca="1" si="2"/>
        <v>0</v>
      </c>
      <c r="E18" s="188">
        <f t="shared" ca="1" si="3"/>
        <v>0</v>
      </c>
      <c r="F18" s="183">
        <f ca="1">IF(AND(H18&gt;=startdag,H18&lt;=slutdag),IF(TODAY()&gt;=H18,Normtid!M9,0),0)</f>
        <v>0</v>
      </c>
      <c r="G18" s="403"/>
      <c r="H18" s="181">
        <f>Normtid!L9</f>
        <v>43925</v>
      </c>
      <c r="I18" s="182" t="str">
        <f t="shared" si="4"/>
        <v>Fre</v>
      </c>
      <c r="J18" s="184"/>
      <c r="K18" s="184"/>
      <c r="L18" s="184"/>
      <c r="M18" s="204"/>
      <c r="N18" s="379"/>
      <c r="O18" s="186" t="str">
        <f>Normtid!$N9</f>
        <v/>
      </c>
      <c r="P18" s="188">
        <f t="shared" ca="1" si="5"/>
        <v>0</v>
      </c>
    </row>
    <row r="19" spans="2:16" ht="15.75" customHeight="1">
      <c r="B19" s="460" t="str">
        <f t="shared" ca="1" si="0"/>
        <v/>
      </c>
      <c r="C19" s="461" t="str">
        <f t="shared" ca="1" si="1"/>
        <v/>
      </c>
      <c r="D19" s="195">
        <f t="shared" ca="1" si="2"/>
        <v>0</v>
      </c>
      <c r="E19" s="196">
        <f t="shared" ca="1" si="3"/>
        <v>0</v>
      </c>
      <c r="F19" s="191">
        <f ca="1">IF(AND(H19&gt;=startdag,H19&lt;=slutdag),IF(TODAY()&gt;=H19,Normtid!M10,0),0)</f>
        <v>0</v>
      </c>
      <c r="G19" s="403"/>
      <c r="H19" s="189">
        <f>Normtid!L10</f>
        <v>43926</v>
      </c>
      <c r="I19" s="190" t="str">
        <f t="shared" si="4"/>
        <v>Lör</v>
      </c>
      <c r="J19" s="192"/>
      <c r="K19" s="192"/>
      <c r="L19" s="192"/>
      <c r="M19" s="202"/>
      <c r="N19" s="383"/>
      <c r="O19" s="194" t="str">
        <f>Normtid!$N10</f>
        <v/>
      </c>
      <c r="P19" s="196">
        <f t="shared" ca="1" si="5"/>
        <v>0</v>
      </c>
    </row>
    <row r="20" spans="2:16" ht="15.75" customHeight="1">
      <c r="B20" s="462" t="str">
        <f t="shared" ca="1" si="0"/>
        <v/>
      </c>
      <c r="C20" s="463" t="str">
        <f t="shared" ca="1" si="1"/>
        <v/>
      </c>
      <c r="D20" s="388">
        <f t="shared" ca="1" si="2"/>
        <v>0</v>
      </c>
      <c r="E20" s="188">
        <f t="shared" ca="1" si="3"/>
        <v>0</v>
      </c>
      <c r="F20" s="183">
        <f ca="1">IF(AND(H20&gt;=startdag,H20&lt;=slutdag),IF(TODAY()&gt;=H20,Normtid!M11,0),0)</f>
        <v>0</v>
      </c>
      <c r="G20" s="403"/>
      <c r="H20" s="181">
        <f>Normtid!L11</f>
        <v>43927</v>
      </c>
      <c r="I20" s="182" t="str">
        <f t="shared" si="4"/>
        <v>Sön</v>
      </c>
      <c r="J20" s="184"/>
      <c r="K20" s="184"/>
      <c r="L20" s="184"/>
      <c r="M20" s="204"/>
      <c r="N20" s="379"/>
      <c r="O20" s="186" t="str">
        <f>Normtid!$N11</f>
        <v/>
      </c>
      <c r="P20" s="188">
        <f t="shared" ca="1" si="5"/>
        <v>0</v>
      </c>
    </row>
    <row r="21" spans="2:16" ht="15.75" customHeight="1">
      <c r="B21" s="460" t="str">
        <f t="shared" ca="1" si="0"/>
        <v/>
      </c>
      <c r="C21" s="461" t="str">
        <f t="shared" ca="1" si="1"/>
        <v/>
      </c>
      <c r="D21" s="195">
        <f t="shared" ca="1" si="2"/>
        <v>0</v>
      </c>
      <c r="E21" s="196">
        <f t="shared" ca="1" si="3"/>
        <v>0</v>
      </c>
      <c r="F21" s="191">
        <f ca="1">IF(AND(H21&gt;=startdag,H21&lt;=slutdag),IF(TODAY()&gt;=H21,Normtid!M12,0),0)</f>
        <v>0</v>
      </c>
      <c r="G21" s="403"/>
      <c r="H21" s="189">
        <f>Normtid!L12</f>
        <v>43928</v>
      </c>
      <c r="I21" s="190" t="str">
        <f t="shared" si="4"/>
        <v>Mån</v>
      </c>
      <c r="J21" s="192"/>
      <c r="K21" s="192"/>
      <c r="L21" s="192"/>
      <c r="M21" s="202"/>
      <c r="N21" s="383"/>
      <c r="O21" s="194" t="str">
        <f>Normtid!$N12</f>
        <v/>
      </c>
      <c r="P21" s="196">
        <f t="shared" ca="1" si="5"/>
        <v>0</v>
      </c>
    </row>
    <row r="22" spans="2:16" ht="15.75" customHeight="1">
      <c r="B22" s="462" t="str">
        <f t="shared" ca="1" si="0"/>
        <v/>
      </c>
      <c r="C22" s="463" t="str">
        <f t="shared" ca="1" si="1"/>
        <v/>
      </c>
      <c r="D22" s="388">
        <f t="shared" ca="1" si="2"/>
        <v>0</v>
      </c>
      <c r="E22" s="188">
        <f t="shared" ca="1" si="3"/>
        <v>0</v>
      </c>
      <c r="F22" s="183">
        <f ca="1">IF(AND(H22&gt;=startdag,H22&lt;=slutdag),IF(TODAY()&gt;=H22,Normtid!M13,0),0)</f>
        <v>0</v>
      </c>
      <c r="G22" s="403"/>
      <c r="H22" s="181">
        <f>Normtid!L13</f>
        <v>43929</v>
      </c>
      <c r="I22" s="182" t="str">
        <f t="shared" si="4"/>
        <v>Tis</v>
      </c>
      <c r="J22" s="184"/>
      <c r="K22" s="184"/>
      <c r="L22" s="184"/>
      <c r="M22" s="204"/>
      <c r="N22" s="379"/>
      <c r="O22" s="186" t="str">
        <f>Normtid!$N13</f>
        <v/>
      </c>
      <c r="P22" s="188">
        <f t="shared" ca="1" si="5"/>
        <v>0</v>
      </c>
    </row>
    <row r="23" spans="2:16" ht="15.75" customHeight="1">
      <c r="B23" s="460" t="str">
        <f t="shared" ca="1" si="0"/>
        <v/>
      </c>
      <c r="C23" s="461" t="str">
        <f t="shared" ca="1" si="1"/>
        <v/>
      </c>
      <c r="D23" s="195">
        <f t="shared" ca="1" si="2"/>
        <v>0</v>
      </c>
      <c r="E23" s="196">
        <f t="shared" ca="1" si="3"/>
        <v>0</v>
      </c>
      <c r="F23" s="191">
        <f ca="1">IF(AND(H23&gt;=startdag,H23&lt;=slutdag),IF(TODAY()&gt;=H23,Normtid!M14,0),0)</f>
        <v>0</v>
      </c>
      <c r="G23" s="403"/>
      <c r="H23" s="189">
        <f>Normtid!L14</f>
        <v>43930</v>
      </c>
      <c r="I23" s="190" t="str">
        <f t="shared" si="4"/>
        <v>Ons</v>
      </c>
      <c r="J23" s="192"/>
      <c r="K23" s="192"/>
      <c r="L23" s="192"/>
      <c r="M23" s="202"/>
      <c r="N23" s="383"/>
      <c r="O23" s="194" t="str">
        <f>Normtid!$N14</f>
        <v/>
      </c>
      <c r="P23" s="196">
        <f t="shared" ca="1" si="5"/>
        <v>0</v>
      </c>
    </row>
    <row r="24" spans="2:16" ht="15.75" customHeight="1">
      <c r="B24" s="462" t="str">
        <f t="shared" ca="1" si="0"/>
        <v/>
      </c>
      <c r="C24" s="463" t="str">
        <f t="shared" ca="1" si="1"/>
        <v/>
      </c>
      <c r="D24" s="388">
        <f t="shared" ca="1" si="2"/>
        <v>0</v>
      </c>
      <c r="E24" s="188">
        <f t="shared" ca="1" si="3"/>
        <v>0</v>
      </c>
      <c r="F24" s="183">
        <f ca="1">IF(AND(H24&gt;=startdag,H24&lt;=slutdag),IF(TODAY()&gt;=H24,Normtid!M15,0),0)</f>
        <v>0</v>
      </c>
      <c r="G24" s="403"/>
      <c r="H24" s="181">
        <f>Normtid!L15</f>
        <v>43931</v>
      </c>
      <c r="I24" s="182" t="str">
        <f t="shared" si="4"/>
        <v>Tor</v>
      </c>
      <c r="J24" s="184"/>
      <c r="K24" s="184"/>
      <c r="L24" s="184"/>
      <c r="M24" s="204"/>
      <c r="N24" s="379"/>
      <c r="O24" s="186" t="str">
        <f>Normtid!$N15</f>
        <v/>
      </c>
      <c r="P24" s="188">
        <f t="shared" ca="1" si="5"/>
        <v>0</v>
      </c>
    </row>
    <row r="25" spans="2:16" ht="15.75" customHeight="1">
      <c r="B25" s="460" t="str">
        <f t="shared" ca="1" si="0"/>
        <v/>
      </c>
      <c r="C25" s="461" t="str">
        <f t="shared" ca="1" si="1"/>
        <v/>
      </c>
      <c r="D25" s="195">
        <f t="shared" ca="1" si="2"/>
        <v>0</v>
      </c>
      <c r="E25" s="196">
        <f t="shared" ca="1" si="3"/>
        <v>0</v>
      </c>
      <c r="F25" s="191">
        <f ca="1">IF(AND(H25&gt;=startdag,H25&lt;=slutdag),IF(TODAY()&gt;=H25,Normtid!M16,0),0)</f>
        <v>0</v>
      </c>
      <c r="G25" s="403"/>
      <c r="H25" s="189">
        <f>Normtid!L16</f>
        <v>43932</v>
      </c>
      <c r="I25" s="190" t="str">
        <f t="shared" si="4"/>
        <v>Fre</v>
      </c>
      <c r="J25" s="192"/>
      <c r="K25" s="192"/>
      <c r="L25" s="192"/>
      <c r="M25" s="202"/>
      <c r="N25" s="383"/>
      <c r="O25" s="194" t="str">
        <f>Normtid!$N16</f>
        <v/>
      </c>
      <c r="P25" s="196">
        <f t="shared" ca="1" si="5"/>
        <v>0</v>
      </c>
    </row>
    <row r="26" spans="2:16" ht="15.75" customHeight="1">
      <c r="B26" s="462" t="str">
        <f t="shared" ca="1" si="0"/>
        <v/>
      </c>
      <c r="C26" s="463" t="str">
        <f t="shared" ca="1" si="1"/>
        <v/>
      </c>
      <c r="D26" s="388">
        <f t="shared" ca="1" si="2"/>
        <v>0</v>
      </c>
      <c r="E26" s="188">
        <f t="shared" ca="1" si="3"/>
        <v>0</v>
      </c>
      <c r="F26" s="183">
        <f ca="1">IF(AND(H26&gt;=startdag,H26&lt;=slutdag),IF(TODAY()&gt;=H26,Normtid!M17,0),0)</f>
        <v>0</v>
      </c>
      <c r="G26" s="403"/>
      <c r="H26" s="181">
        <f>Normtid!L17</f>
        <v>43933</v>
      </c>
      <c r="I26" s="182" t="str">
        <f t="shared" si="4"/>
        <v>Lör</v>
      </c>
      <c r="J26" s="184"/>
      <c r="K26" s="184"/>
      <c r="L26" s="184"/>
      <c r="M26" s="204"/>
      <c r="N26" s="379"/>
      <c r="O26" s="186" t="str">
        <f>Normtid!$N17</f>
        <v/>
      </c>
      <c r="P26" s="188">
        <f t="shared" ca="1" si="5"/>
        <v>0</v>
      </c>
    </row>
    <row r="27" spans="2:16" ht="15.75" customHeight="1">
      <c r="B27" s="460" t="str">
        <f t="shared" ca="1" si="0"/>
        <v/>
      </c>
      <c r="C27" s="461" t="str">
        <f t="shared" ca="1" si="1"/>
        <v/>
      </c>
      <c r="D27" s="195">
        <f t="shared" ca="1" si="2"/>
        <v>0</v>
      </c>
      <c r="E27" s="196">
        <f t="shared" ca="1" si="3"/>
        <v>0</v>
      </c>
      <c r="F27" s="191">
        <f ca="1">IF(AND(H27&gt;=startdag,H27&lt;=slutdag),IF(TODAY()&gt;=H27,Normtid!M18,0),0)</f>
        <v>0</v>
      </c>
      <c r="G27" s="403"/>
      <c r="H27" s="189">
        <f>Normtid!L18</f>
        <v>43934</v>
      </c>
      <c r="I27" s="190" t="str">
        <f t="shared" si="4"/>
        <v>Sön</v>
      </c>
      <c r="J27" s="192"/>
      <c r="K27" s="192"/>
      <c r="L27" s="192"/>
      <c r="M27" s="202"/>
      <c r="N27" s="383"/>
      <c r="O27" s="194" t="str">
        <f>Normtid!$N18</f>
        <v/>
      </c>
      <c r="P27" s="196">
        <f t="shared" ca="1" si="5"/>
        <v>0</v>
      </c>
    </row>
    <row r="28" spans="2:16" ht="15.75" customHeight="1">
      <c r="B28" s="462" t="str">
        <f t="shared" ca="1" si="0"/>
        <v/>
      </c>
      <c r="C28" s="463" t="str">
        <f t="shared" ca="1" si="1"/>
        <v/>
      </c>
      <c r="D28" s="388">
        <f t="shared" ca="1" si="2"/>
        <v>0</v>
      </c>
      <c r="E28" s="188">
        <f t="shared" ca="1" si="3"/>
        <v>0</v>
      </c>
      <c r="F28" s="183">
        <f ca="1">IF(AND(H28&gt;=startdag,H28&lt;=slutdag),IF(TODAY()&gt;=H28,Normtid!M19,0),0)</f>
        <v>0</v>
      </c>
      <c r="G28" s="403"/>
      <c r="H28" s="181">
        <f>Normtid!L19</f>
        <v>43935</v>
      </c>
      <c r="I28" s="182" t="str">
        <f t="shared" si="4"/>
        <v>Mån</v>
      </c>
      <c r="J28" s="184"/>
      <c r="K28" s="184"/>
      <c r="L28" s="184"/>
      <c r="M28" s="204"/>
      <c r="N28" s="379"/>
      <c r="O28" s="186" t="str">
        <f>Normtid!$N19</f>
        <v/>
      </c>
      <c r="P28" s="188">
        <f t="shared" ca="1" si="5"/>
        <v>0</v>
      </c>
    </row>
    <row r="29" spans="2:16" ht="15.75" customHeight="1">
      <c r="B29" s="460" t="str">
        <f t="shared" ca="1" si="0"/>
        <v/>
      </c>
      <c r="C29" s="461" t="str">
        <f t="shared" ca="1" si="1"/>
        <v/>
      </c>
      <c r="D29" s="195">
        <f t="shared" ca="1" si="2"/>
        <v>0</v>
      </c>
      <c r="E29" s="196">
        <f t="shared" ca="1" si="3"/>
        <v>0</v>
      </c>
      <c r="F29" s="191">
        <f ca="1">IF(AND(H29&gt;=startdag,H29&lt;=slutdag),IF(TODAY()&gt;=H29,Normtid!M20,0),0)</f>
        <v>0</v>
      </c>
      <c r="G29" s="403"/>
      <c r="H29" s="189">
        <f>Normtid!L20</f>
        <v>43936</v>
      </c>
      <c r="I29" s="190" t="str">
        <f t="shared" si="4"/>
        <v>Tis</v>
      </c>
      <c r="J29" s="192"/>
      <c r="K29" s="192"/>
      <c r="L29" s="192"/>
      <c r="M29" s="202"/>
      <c r="N29" s="383"/>
      <c r="O29" s="194" t="str">
        <f>Normtid!$N20</f>
        <v/>
      </c>
      <c r="P29" s="196">
        <f t="shared" ca="1" si="5"/>
        <v>0</v>
      </c>
    </row>
    <row r="30" spans="2:16" ht="15.75" customHeight="1">
      <c r="B30" s="462" t="str">
        <f t="shared" ca="1" si="0"/>
        <v/>
      </c>
      <c r="C30" s="463" t="str">
        <f t="shared" ca="1" si="1"/>
        <v/>
      </c>
      <c r="D30" s="388">
        <f t="shared" ca="1" si="2"/>
        <v>0</v>
      </c>
      <c r="E30" s="188">
        <f t="shared" ca="1" si="3"/>
        <v>0</v>
      </c>
      <c r="F30" s="183">
        <f ca="1">IF(AND(H30&gt;=startdag,H30&lt;=slutdag),IF(TODAY()&gt;=H30,Normtid!M21,0),0)</f>
        <v>0</v>
      </c>
      <c r="G30" s="403"/>
      <c r="H30" s="181">
        <f>Normtid!L21</f>
        <v>43937</v>
      </c>
      <c r="I30" s="182" t="str">
        <f t="shared" si="4"/>
        <v>Ons</v>
      </c>
      <c r="J30" s="184"/>
      <c r="K30" s="184"/>
      <c r="L30" s="184"/>
      <c r="M30" s="204"/>
      <c r="N30" s="379"/>
      <c r="O30" s="186" t="str">
        <f>Normtid!$N21</f>
        <v/>
      </c>
      <c r="P30" s="188">
        <f t="shared" ca="1" si="5"/>
        <v>0</v>
      </c>
    </row>
    <row r="31" spans="2:16" ht="15.75" customHeight="1">
      <c r="B31" s="460" t="str">
        <f t="shared" ca="1" si="0"/>
        <v/>
      </c>
      <c r="C31" s="461" t="str">
        <f t="shared" ca="1" si="1"/>
        <v/>
      </c>
      <c r="D31" s="195">
        <f t="shared" ca="1" si="2"/>
        <v>0</v>
      </c>
      <c r="E31" s="196">
        <f t="shared" ca="1" si="3"/>
        <v>0</v>
      </c>
      <c r="F31" s="191">
        <f ca="1">IF(AND(H31&gt;=startdag,H31&lt;=slutdag),IF(TODAY()&gt;=H31,Normtid!M22,0),0)</f>
        <v>0</v>
      </c>
      <c r="G31" s="403"/>
      <c r="H31" s="189">
        <f>Normtid!L22</f>
        <v>43938</v>
      </c>
      <c r="I31" s="190" t="str">
        <f t="shared" si="4"/>
        <v>Tor</v>
      </c>
      <c r="J31" s="192"/>
      <c r="K31" s="192"/>
      <c r="L31" s="192"/>
      <c r="M31" s="202"/>
      <c r="N31" s="383"/>
      <c r="O31" s="194" t="str">
        <f>Normtid!$N22</f>
        <v/>
      </c>
      <c r="P31" s="196">
        <f t="shared" ca="1" si="5"/>
        <v>0</v>
      </c>
    </row>
    <row r="32" spans="2:16" ht="15.75" customHeight="1">
      <c r="B32" s="462" t="str">
        <f t="shared" ca="1" si="0"/>
        <v/>
      </c>
      <c r="C32" s="463" t="str">
        <f t="shared" ca="1" si="1"/>
        <v/>
      </c>
      <c r="D32" s="388">
        <f t="shared" ca="1" si="2"/>
        <v>0</v>
      </c>
      <c r="E32" s="188">
        <f t="shared" ca="1" si="3"/>
        <v>0</v>
      </c>
      <c r="F32" s="183">
        <f ca="1">IF(AND(H32&gt;=startdag,H32&lt;=slutdag),IF(TODAY()&gt;=H32,Normtid!M23,0),0)</f>
        <v>0</v>
      </c>
      <c r="G32" s="403"/>
      <c r="H32" s="181">
        <f>Normtid!L23</f>
        <v>43939</v>
      </c>
      <c r="I32" s="182" t="str">
        <f t="shared" si="4"/>
        <v>Fre</v>
      </c>
      <c r="J32" s="184"/>
      <c r="K32" s="184"/>
      <c r="L32" s="184"/>
      <c r="M32" s="204"/>
      <c r="N32" s="379"/>
      <c r="O32" s="186" t="str">
        <f>Normtid!$N23</f>
        <v/>
      </c>
      <c r="P32" s="188">
        <f t="shared" ca="1" si="5"/>
        <v>0</v>
      </c>
    </row>
    <row r="33" spans="1:16" ht="15.75" customHeight="1">
      <c r="B33" s="460" t="str">
        <f t="shared" ca="1" si="0"/>
        <v/>
      </c>
      <c r="C33" s="461" t="str">
        <f t="shared" ca="1" si="1"/>
        <v/>
      </c>
      <c r="D33" s="195">
        <f t="shared" ca="1" si="2"/>
        <v>0</v>
      </c>
      <c r="E33" s="196">
        <f t="shared" ca="1" si="3"/>
        <v>0</v>
      </c>
      <c r="F33" s="191">
        <f ca="1">IF(AND(H33&gt;=startdag,H33&lt;=slutdag),IF(TODAY()&gt;=H33,Normtid!M24,0),0)</f>
        <v>0</v>
      </c>
      <c r="G33" s="403"/>
      <c r="H33" s="189">
        <f>Normtid!L24</f>
        <v>43940</v>
      </c>
      <c r="I33" s="190" t="str">
        <f t="shared" si="4"/>
        <v>Lör</v>
      </c>
      <c r="J33" s="192"/>
      <c r="K33" s="192"/>
      <c r="L33" s="192"/>
      <c r="M33" s="202"/>
      <c r="N33" s="383"/>
      <c r="O33" s="194" t="str">
        <f>Normtid!$N24</f>
        <v/>
      </c>
      <c r="P33" s="196">
        <f t="shared" ca="1" si="5"/>
        <v>0</v>
      </c>
    </row>
    <row r="34" spans="1:16" ht="15.75" customHeight="1">
      <c r="B34" s="462" t="str">
        <f t="shared" ca="1" si="0"/>
        <v/>
      </c>
      <c r="C34" s="463" t="str">
        <f t="shared" ca="1" si="1"/>
        <v/>
      </c>
      <c r="D34" s="388">
        <f t="shared" ca="1" si="2"/>
        <v>0</v>
      </c>
      <c r="E34" s="188">
        <f t="shared" ca="1" si="3"/>
        <v>0</v>
      </c>
      <c r="F34" s="183">
        <f ca="1">IF(AND(H34&gt;=startdag,H34&lt;=slutdag),IF(TODAY()&gt;=H34,Normtid!M25,0),0)</f>
        <v>0</v>
      </c>
      <c r="G34" s="403"/>
      <c r="H34" s="181">
        <f>Normtid!L25</f>
        <v>43941</v>
      </c>
      <c r="I34" s="182" t="str">
        <f t="shared" si="4"/>
        <v>Sön</v>
      </c>
      <c r="J34" s="184"/>
      <c r="K34" s="184"/>
      <c r="L34" s="184"/>
      <c r="M34" s="204"/>
      <c r="N34" s="379"/>
      <c r="O34" s="186" t="str">
        <f>Normtid!$N25</f>
        <v/>
      </c>
      <c r="P34" s="188">
        <f t="shared" ca="1" si="5"/>
        <v>0</v>
      </c>
    </row>
    <row r="35" spans="1:16" ht="15.75" customHeight="1">
      <c r="B35" s="460" t="str">
        <f t="shared" ca="1" si="0"/>
        <v/>
      </c>
      <c r="C35" s="461" t="str">
        <f t="shared" ca="1" si="1"/>
        <v/>
      </c>
      <c r="D35" s="195">
        <f t="shared" ca="1" si="2"/>
        <v>0</v>
      </c>
      <c r="E35" s="196">
        <f t="shared" ca="1" si="3"/>
        <v>0</v>
      </c>
      <c r="F35" s="191">
        <f ca="1">IF(AND(H35&gt;=startdag,H35&lt;=slutdag),IF(TODAY()&gt;=H35,Normtid!M26,0),0)</f>
        <v>0</v>
      </c>
      <c r="G35" s="403"/>
      <c r="H35" s="189">
        <f>Normtid!L26</f>
        <v>43942</v>
      </c>
      <c r="I35" s="190" t="str">
        <f t="shared" si="4"/>
        <v>Mån</v>
      </c>
      <c r="J35" s="192"/>
      <c r="K35" s="192"/>
      <c r="L35" s="192"/>
      <c r="M35" s="202"/>
      <c r="N35" s="383"/>
      <c r="O35" s="194" t="str">
        <f>Normtid!$N26</f>
        <v/>
      </c>
      <c r="P35" s="196">
        <f t="shared" ca="1" si="5"/>
        <v>0</v>
      </c>
    </row>
    <row r="36" spans="1:16" ht="15.75" customHeight="1">
      <c r="B36" s="462" t="str">
        <f t="shared" ca="1" si="0"/>
        <v/>
      </c>
      <c r="C36" s="463" t="str">
        <f t="shared" ca="1" si="1"/>
        <v/>
      </c>
      <c r="D36" s="388">
        <f t="shared" ca="1" si="2"/>
        <v>0</v>
      </c>
      <c r="E36" s="188">
        <f t="shared" ca="1" si="3"/>
        <v>0</v>
      </c>
      <c r="F36" s="183">
        <f ca="1">IF(AND(H36&gt;=startdag,H36&lt;=slutdag),IF(TODAY()&gt;=H36,Normtid!M27,0),0)</f>
        <v>0</v>
      </c>
      <c r="G36" s="403"/>
      <c r="H36" s="181">
        <f>Normtid!L27</f>
        <v>43943</v>
      </c>
      <c r="I36" s="182" t="str">
        <f t="shared" si="4"/>
        <v>Tis</v>
      </c>
      <c r="J36" s="184"/>
      <c r="K36" s="184"/>
      <c r="L36" s="184"/>
      <c r="M36" s="204"/>
      <c r="N36" s="379"/>
      <c r="O36" s="186" t="str">
        <f>Normtid!$N27</f>
        <v/>
      </c>
      <c r="P36" s="188">
        <f t="shared" ca="1" si="5"/>
        <v>0</v>
      </c>
    </row>
    <row r="37" spans="1:16" ht="15.75" customHeight="1">
      <c r="B37" s="460" t="str">
        <f t="shared" ca="1" si="0"/>
        <v/>
      </c>
      <c r="C37" s="461" t="str">
        <f t="shared" ca="1" si="1"/>
        <v/>
      </c>
      <c r="D37" s="195">
        <f t="shared" ca="1" si="2"/>
        <v>0</v>
      </c>
      <c r="E37" s="196">
        <f t="shared" ca="1" si="3"/>
        <v>0</v>
      </c>
      <c r="F37" s="191">
        <f ca="1">IF(AND(H37&gt;=startdag,H37&lt;=slutdag),IF(TODAY()&gt;=H37,Normtid!M28,0),0)</f>
        <v>0</v>
      </c>
      <c r="G37" s="403"/>
      <c r="H37" s="189">
        <f>Normtid!L28</f>
        <v>43944</v>
      </c>
      <c r="I37" s="190" t="str">
        <f t="shared" si="4"/>
        <v>Ons</v>
      </c>
      <c r="J37" s="192"/>
      <c r="K37" s="192"/>
      <c r="L37" s="192"/>
      <c r="M37" s="202"/>
      <c r="N37" s="383"/>
      <c r="O37" s="194" t="str">
        <f>Normtid!$N28</f>
        <v/>
      </c>
      <c r="P37" s="196">
        <f t="shared" ca="1" si="5"/>
        <v>0</v>
      </c>
    </row>
    <row r="38" spans="1:16" ht="15.75" customHeight="1">
      <c r="B38" s="462" t="str">
        <f t="shared" ca="1" si="0"/>
        <v/>
      </c>
      <c r="C38" s="463" t="str">
        <f t="shared" ca="1" si="1"/>
        <v/>
      </c>
      <c r="D38" s="388">
        <f t="shared" ca="1" si="2"/>
        <v>0</v>
      </c>
      <c r="E38" s="188">
        <f t="shared" ca="1" si="3"/>
        <v>0</v>
      </c>
      <c r="F38" s="183">
        <f ca="1">IF(AND(H38&gt;=startdag,H38&lt;=slutdag),IF(TODAY()&gt;=H38,Normtid!M29,0),0)</f>
        <v>0</v>
      </c>
      <c r="G38" s="403"/>
      <c r="H38" s="181">
        <f>Normtid!L29</f>
        <v>43945</v>
      </c>
      <c r="I38" s="182" t="str">
        <f t="shared" si="4"/>
        <v>Tor</v>
      </c>
      <c r="J38" s="184"/>
      <c r="K38" s="184"/>
      <c r="L38" s="184"/>
      <c r="M38" s="204"/>
      <c r="N38" s="379"/>
      <c r="O38" s="186" t="str">
        <f>Normtid!$N29</f>
        <v/>
      </c>
      <c r="P38" s="188">
        <f t="shared" ca="1" si="5"/>
        <v>0</v>
      </c>
    </row>
    <row r="39" spans="1:16" ht="15.75" customHeight="1">
      <c r="B39" s="460" t="str">
        <f t="shared" ca="1" si="0"/>
        <v/>
      </c>
      <c r="C39" s="461" t="str">
        <f t="shared" ca="1" si="1"/>
        <v/>
      </c>
      <c r="D39" s="195">
        <f t="shared" ca="1" si="2"/>
        <v>0</v>
      </c>
      <c r="E39" s="196">
        <f t="shared" ca="1" si="3"/>
        <v>0</v>
      </c>
      <c r="F39" s="191">
        <f ca="1">IF(AND(H39&gt;=startdag,H39&lt;=slutdag),IF(TODAY()&gt;=H39,Normtid!M30,0),0)</f>
        <v>0</v>
      </c>
      <c r="G39" s="403"/>
      <c r="H39" s="189">
        <f>Normtid!L30</f>
        <v>43946</v>
      </c>
      <c r="I39" s="190" t="str">
        <f t="shared" si="4"/>
        <v>Fre</v>
      </c>
      <c r="J39" s="192"/>
      <c r="K39" s="192"/>
      <c r="L39" s="192"/>
      <c r="M39" s="202"/>
      <c r="N39" s="383"/>
      <c r="O39" s="194" t="str">
        <f>Normtid!$N30</f>
        <v/>
      </c>
      <c r="P39" s="196">
        <f t="shared" ca="1" si="5"/>
        <v>0</v>
      </c>
    </row>
    <row r="40" spans="1:16" ht="15.75" customHeight="1">
      <c r="B40" s="462" t="str">
        <f t="shared" ca="1" si="0"/>
        <v/>
      </c>
      <c r="C40" s="463" t="str">
        <f t="shared" ca="1" si="1"/>
        <v/>
      </c>
      <c r="D40" s="388">
        <f t="shared" ca="1" si="2"/>
        <v>0</v>
      </c>
      <c r="E40" s="188">
        <f t="shared" ca="1" si="3"/>
        <v>0</v>
      </c>
      <c r="F40" s="183">
        <f ca="1">IF(AND(H40&gt;=startdag,H40&lt;=slutdag),IF(TODAY()&gt;=H40,Normtid!M31,0),0)</f>
        <v>0</v>
      </c>
      <c r="G40" s="403"/>
      <c r="H40" s="181">
        <f>Normtid!L31</f>
        <v>43947</v>
      </c>
      <c r="I40" s="182" t="str">
        <f t="shared" si="4"/>
        <v>Lör</v>
      </c>
      <c r="J40" s="184"/>
      <c r="K40" s="184"/>
      <c r="L40" s="184"/>
      <c r="M40" s="204"/>
      <c r="N40" s="379"/>
      <c r="O40" s="186" t="str">
        <f>Normtid!$N31</f>
        <v/>
      </c>
      <c r="P40" s="188">
        <f t="shared" ca="1" si="5"/>
        <v>0</v>
      </c>
    </row>
    <row r="41" spans="1:16" ht="15.75" customHeight="1">
      <c r="B41" s="460" t="str">
        <f t="shared" ca="1" si="0"/>
        <v/>
      </c>
      <c r="C41" s="461" t="str">
        <f t="shared" ca="1" si="1"/>
        <v/>
      </c>
      <c r="D41" s="195">
        <f t="shared" ca="1" si="2"/>
        <v>0</v>
      </c>
      <c r="E41" s="196">
        <f t="shared" ca="1" si="3"/>
        <v>0</v>
      </c>
      <c r="F41" s="191">
        <f ca="1">IF(AND(H41&gt;=startdag,H41&lt;=slutdag),IF(TODAY()&gt;=H41,Normtid!M32,0),0)</f>
        <v>0</v>
      </c>
      <c r="G41" s="403"/>
      <c r="H41" s="189">
        <f>Normtid!L32</f>
        <v>43948</v>
      </c>
      <c r="I41" s="190" t="str">
        <f t="shared" si="4"/>
        <v>Sön</v>
      </c>
      <c r="J41" s="192"/>
      <c r="K41" s="192"/>
      <c r="L41" s="192"/>
      <c r="M41" s="202"/>
      <c r="N41" s="383"/>
      <c r="O41" s="194" t="str">
        <f>Normtid!$N32</f>
        <v/>
      </c>
      <c r="P41" s="196">
        <f t="shared" ca="1" si="5"/>
        <v>0</v>
      </c>
    </row>
    <row r="42" spans="1:16" ht="15.75" customHeight="1">
      <c r="B42" s="462" t="str">
        <f t="shared" ca="1" si="0"/>
        <v/>
      </c>
      <c r="C42" s="463" t="str">
        <f t="shared" ca="1" si="1"/>
        <v/>
      </c>
      <c r="D42" s="388">
        <f t="shared" ca="1" si="2"/>
        <v>0</v>
      </c>
      <c r="E42" s="188">
        <f t="shared" ca="1" si="3"/>
        <v>0</v>
      </c>
      <c r="F42" s="183">
        <f ca="1">IF(AND(H42&gt;=startdag,H42&lt;=slutdag),IF(TODAY()&gt;=H42,Normtid!M33,0),0)</f>
        <v>0</v>
      </c>
      <c r="G42" s="403"/>
      <c r="H42" s="181">
        <f>Normtid!L33</f>
        <v>43949</v>
      </c>
      <c r="I42" s="182" t="str">
        <f t="shared" si="4"/>
        <v>Mån</v>
      </c>
      <c r="J42" s="184"/>
      <c r="K42" s="184"/>
      <c r="L42" s="184"/>
      <c r="M42" s="204"/>
      <c r="N42" s="379"/>
      <c r="O42" s="186" t="str">
        <f>Normtid!$N33</f>
        <v/>
      </c>
      <c r="P42" s="188">
        <f t="shared" ca="1" si="5"/>
        <v>0</v>
      </c>
    </row>
    <row r="43" spans="1:16" ht="15.75" customHeight="1">
      <c r="B43" s="460" t="str">
        <f t="shared" ca="1" si="0"/>
        <v/>
      </c>
      <c r="C43" s="461" t="str">
        <f t="shared" ca="1" si="1"/>
        <v/>
      </c>
      <c r="D43" s="195">
        <f t="shared" ca="1" si="2"/>
        <v>0</v>
      </c>
      <c r="E43" s="196">
        <f t="shared" ca="1" si="3"/>
        <v>0</v>
      </c>
      <c r="F43" s="191">
        <f ca="1">IF(AND(H43&gt;=startdag,H43&lt;=slutdag),IF(TODAY()&gt;=H43,Normtid!M34,0),0)</f>
        <v>0</v>
      </c>
      <c r="G43" s="403"/>
      <c r="H43" s="189">
        <f>Normtid!L34</f>
        <v>43950</v>
      </c>
      <c r="I43" s="190" t="str">
        <f t="shared" si="4"/>
        <v>Tis</v>
      </c>
      <c r="J43" s="192"/>
      <c r="K43" s="192"/>
      <c r="L43" s="192"/>
      <c r="M43" s="202"/>
      <c r="N43" s="383"/>
      <c r="O43" s="194" t="str">
        <f>Normtid!$N34</f>
        <v>Valborgsmässoafton</v>
      </c>
      <c r="P43" s="196">
        <f t="shared" ca="1" si="5"/>
        <v>0</v>
      </c>
    </row>
    <row r="44" spans="1:16" ht="15.75" customHeight="1">
      <c r="B44" s="464" t="str">
        <f t="shared" ca="1" si="0"/>
        <v/>
      </c>
      <c r="C44" s="465" t="str">
        <f t="shared" ca="1" si="1"/>
        <v/>
      </c>
      <c r="D44" s="389">
        <f t="shared" ca="1" si="2"/>
        <v>0</v>
      </c>
      <c r="E44" s="91">
        <f t="shared" ca="1" si="3"/>
        <v>0</v>
      </c>
      <c r="F44" s="220">
        <f ca="1">IF(AND(H44&gt;=startdag,H44&lt;=slutdag),IF(TODAY()&gt;=H44,Normtid!M35,0),0)</f>
        <v>0</v>
      </c>
      <c r="G44" s="403"/>
      <c r="H44" s="45"/>
      <c r="I44" s="46"/>
      <c r="J44" s="92"/>
      <c r="K44" s="92"/>
      <c r="L44" s="92"/>
      <c r="M44" s="93"/>
      <c r="N44" s="90"/>
      <c r="O44" s="94"/>
      <c r="P44" s="91">
        <f t="shared" ca="1" si="5"/>
        <v>0</v>
      </c>
    </row>
    <row r="45" spans="1:16" ht="15.75" customHeight="1" thickBot="1">
      <c r="A45" s="30"/>
      <c r="B45" s="17"/>
      <c r="C45" s="336"/>
      <c r="D45" s="80"/>
      <c r="E45" s="80"/>
      <c r="F45" s="80"/>
      <c r="G45" s="80"/>
      <c r="H45" s="80"/>
      <c r="I45" s="80"/>
      <c r="J45" s="81"/>
      <c r="K45" s="80"/>
      <c r="L45" s="80"/>
      <c r="M45" s="80"/>
      <c r="N45" s="80"/>
      <c r="O45" s="80"/>
      <c r="P45" s="80"/>
    </row>
    <row r="46" spans="1:16" ht="12.9">
      <c r="A46" s="548" t="str">
        <f>Felinfo!H10</f>
        <v>Flex 99:03C • huk-51 • ©</v>
      </c>
      <c r="C46" s="314"/>
      <c r="D46" s="64"/>
      <c r="E46" s="64"/>
      <c r="F46" s="17"/>
      <c r="G46" s="17"/>
      <c r="H46" s="51" t="str">
        <f ca="1">"Summa arbetad tid"&amp;IF(MONTH(H14)=MONTH(TODAY())," t o m ""i dag""","")</f>
        <v>Summa arbetad tid</v>
      </c>
      <c r="I46" s="52"/>
      <c r="J46" s="53"/>
      <c r="K46" s="53"/>
      <c r="L46" s="53"/>
      <c r="M46" s="53"/>
      <c r="N46" s="54"/>
      <c r="O46" s="52"/>
      <c r="P46" s="197">
        <f ca="1">IF(TODAY()&gt;=H14,SUMIF(P14:P44,"&gt;0"),0)</f>
        <v>0</v>
      </c>
    </row>
    <row r="47" spans="1:16" ht="14.25" customHeight="1">
      <c r="A47" s="555"/>
      <c r="C47" s="314"/>
      <c r="D47" s="60"/>
      <c r="E47" s="60"/>
      <c r="F47" s="17"/>
      <c r="G47" s="17"/>
      <c r="H47" s="56" t="str">
        <f ca="1">IF(MONTH(H14)=MONTH(TODAY()),"Månadens normalarbetstid t o m idag","Normalarbetstid för månaden")&amp;IF(AND(MONTH(TODAY())&gt;=MONTH(H14),N8&lt;&gt;1)," (normtid "&amp;SUM(F14:F44)&amp;" tim * tjänsteomfattning "&amp;TEXT(N8*1000,"## %)"),"")</f>
        <v>Normalarbetstid för månaden</v>
      </c>
      <c r="I47" s="17"/>
      <c r="J47" s="57"/>
      <c r="K47" s="57"/>
      <c r="L47" s="57"/>
      <c r="M47" s="57"/>
      <c r="N47" s="58"/>
      <c r="O47" s="59"/>
      <c r="P47" s="198">
        <f ca="1">IF(AND(TODAY()&gt;=H14,MONTH(H14)&gt;=MONTH(Grunddata!C22)),SUM(F14:F44)*N8,0)</f>
        <v>0</v>
      </c>
    </row>
    <row r="48" spans="1:16" ht="14.25" customHeight="1">
      <c r="A48" s="555"/>
      <c r="C48" s="314"/>
      <c r="D48" s="64"/>
      <c r="E48" s="64"/>
      <c r="F48" s="17"/>
      <c r="G48" s="17"/>
      <c r="H48" s="56" t="s">
        <v>35</v>
      </c>
      <c r="I48" s="17"/>
      <c r="J48" s="57"/>
      <c r="K48" s="61"/>
      <c r="L48" s="62"/>
      <c r="M48" s="63"/>
      <c r="N48" s="63"/>
      <c r="O48" s="63"/>
      <c r="P48" s="308">
        <f ca="1">IF(TODAY()&gt;=H14,IF(AND(MONTH(H14)=MONTH(Grunddata!C22),flyttsaldo&lt;&gt;0),flyttsaldo,MARS!P50),0)</f>
        <v>0</v>
      </c>
    </row>
    <row r="49" spans="1:16" ht="14.25" customHeight="1">
      <c r="A49" s="555"/>
      <c r="C49" s="314"/>
      <c r="D49" s="64"/>
      <c r="E49" s="64"/>
      <c r="F49" s="17"/>
      <c r="G49" s="17"/>
      <c r="H49" s="56" t="str">
        <f>IF(tjänst=1,"Över","Mer")&amp;"tidstimmar (ersättning utbetalad med "&amp;TEXT(H14,"MMMM")&amp;"lönen)"</f>
        <v>Övertidstimmar (ersättning utbetalad med aprillönen)</v>
      </c>
      <c r="I49" s="17"/>
      <c r="J49" s="57"/>
      <c r="K49" s="61"/>
      <c r="L49" s="62"/>
      <c r="M49" s="63"/>
      <c r="N49" s="63"/>
      <c r="O49" s="63"/>
      <c r="P49" s="372"/>
    </row>
    <row r="50" spans="1:16" ht="14.25" customHeight="1">
      <c r="A50" s="555"/>
      <c r="C50" s="314"/>
      <c r="D50" s="64"/>
      <c r="E50" s="64"/>
      <c r="F50" s="17"/>
      <c r="G50" s="17"/>
      <c r="H50" s="65" t="str">
        <f ca="1">IF(MONTH(H14)=MONTH(TODAY()),"Dagens saldo +/-","Nytt saldo +/-")</f>
        <v>Nytt saldo +/-</v>
      </c>
      <c r="I50" s="66"/>
      <c r="J50" s="67"/>
      <c r="K50" s="68"/>
      <c r="L50" s="69"/>
      <c r="M50" s="69"/>
      <c r="N50" s="69"/>
      <c r="O50" s="69"/>
      <c r="P50" s="469">
        <f ca="1">IF(TODAY()&gt;=H14,P46-P47+P48-ABS(P49),0)</f>
        <v>0</v>
      </c>
    </row>
    <row r="51" spans="1:16" ht="14.25" customHeight="1" thickBot="1">
      <c r="A51" s="555"/>
      <c r="C51" s="314"/>
      <c r="D51" s="64"/>
      <c r="E51" s="64"/>
      <c r="F51" s="17"/>
      <c r="G51" s="17"/>
      <c r="H51" s="71" t="s">
        <v>29</v>
      </c>
      <c r="I51" s="72"/>
      <c r="J51" s="73"/>
      <c r="K51" s="74">
        <f ca="1">IF(L51&gt;0,"månadens: ",)</f>
        <v>0</v>
      </c>
      <c r="L51" s="75">
        <f ca="1">MOD(SUM(D14:D44),100)</f>
        <v>0</v>
      </c>
      <c r="M51" s="76">
        <f ca="1">IF(N51&gt;0,"årets: ",)</f>
        <v>0</v>
      </c>
      <c r="N51" s="75">
        <f ca="1">'2024'!K17</f>
        <v>0</v>
      </c>
      <c r="O51" s="77" t="str">
        <f ca="1">"  kvarstående:  "&amp;'2024'!$L17</f>
        <v xml:space="preserve">  kvarstående:  0</v>
      </c>
      <c r="P51" s="79"/>
    </row>
    <row r="52" spans="1:16" ht="12" customHeight="1">
      <c r="A52" s="555"/>
      <c r="C52" s="314"/>
      <c r="F52" s="466"/>
      <c r="G52" s="466"/>
      <c r="H52" s="427" t="s">
        <v>75</v>
      </c>
      <c r="I52" s="428"/>
      <c r="J52" s="429"/>
      <c r="K52" s="430" t="s">
        <v>27</v>
      </c>
      <c r="L52" s="431"/>
      <c r="M52" s="431"/>
      <c r="N52" s="432"/>
      <c r="O52" s="433"/>
      <c r="P52" s="434"/>
    </row>
    <row r="53" spans="1:16" ht="27.75" customHeight="1" thickBot="1">
      <c r="A53" s="555"/>
      <c r="F53" s="467"/>
      <c r="G53" s="467"/>
      <c r="H53" s="561"/>
      <c r="I53" s="566"/>
      <c r="J53" s="567"/>
      <c r="K53" s="7"/>
      <c r="L53" s="7"/>
      <c r="M53" s="7"/>
      <c r="N53" s="9"/>
      <c r="O53" s="3"/>
      <c r="P53" s="4"/>
    </row>
    <row r="54" spans="1:16" ht="12" customHeight="1" thickBot="1">
      <c r="A54" s="360"/>
    </row>
    <row r="55" spans="1:16" ht="12" customHeight="1">
      <c r="A55" s="360"/>
      <c r="F55" s="125"/>
      <c r="G55" s="125"/>
      <c r="H55" s="5" t="s">
        <v>19</v>
      </c>
      <c r="I55" s="5"/>
      <c r="J55" s="427" t="s">
        <v>75</v>
      </c>
      <c r="K55" s="429"/>
      <c r="L55" s="430" t="s">
        <v>26</v>
      </c>
      <c r="M55" s="431"/>
      <c r="N55" s="432"/>
      <c r="O55" s="433"/>
      <c r="P55" s="435"/>
    </row>
    <row r="56" spans="1:16" ht="27.75" customHeight="1" thickBot="1">
      <c r="A56" s="360"/>
      <c r="F56" s="125"/>
      <c r="G56" s="125"/>
      <c r="J56" s="11"/>
      <c r="K56" s="10"/>
      <c r="L56" s="7"/>
      <c r="M56" s="7"/>
      <c r="N56" s="9"/>
      <c r="O56" s="3"/>
      <c r="P56" s="4"/>
    </row>
    <row r="59" spans="1:16">
      <c r="C59" s="318"/>
      <c r="D59" s="64"/>
      <c r="E59" s="64"/>
      <c r="F59" s="17"/>
      <c r="G59" s="17"/>
    </row>
    <row r="60" spans="1:16">
      <c r="C60" s="318"/>
      <c r="D60" s="64"/>
      <c r="E60" s="64"/>
      <c r="F60" s="17"/>
      <c r="G60" s="17"/>
    </row>
    <row r="61" spans="1:16">
      <c r="C61" s="318"/>
      <c r="D61" s="64"/>
      <c r="E61" s="64"/>
      <c r="F61" s="17"/>
      <c r="G61" s="17"/>
    </row>
    <row r="62" spans="1:16">
      <c r="C62" s="318"/>
      <c r="D62" s="64"/>
      <c r="E62" s="64"/>
      <c r="F62" s="17"/>
      <c r="G62" s="17"/>
    </row>
  </sheetData>
  <sheetProtection password="C38D" sheet="1" objects="1" scenarios="1"/>
  <mergeCells count="4">
    <mergeCell ref="A46:A53"/>
    <mergeCell ref="B10:C10"/>
    <mergeCell ref="J13:O13"/>
    <mergeCell ref="H53:J53"/>
  </mergeCells>
  <phoneticPr fontId="0" type="noConversion"/>
  <conditionalFormatting sqref="A14">
    <cfRule type="cellIs" dxfId="17" priority="1" stopIfTrue="1" operator="greaterThan">
      <formula>0</formula>
    </cfRule>
  </conditionalFormatting>
  <conditionalFormatting sqref="J45 L48:L49">
    <cfRule type="cellIs" dxfId="16" priority="2" stopIfTrue="1" operator="greaterThan">
      <formula>0</formula>
    </cfRule>
  </conditionalFormatting>
  <dataValidations count="1">
    <dataValidation allowBlank="1" showInputMessage="1" showErrorMessage="1" error="Timme och minut måste skiljas med_x000a_- kolon på pc_x000a_- punkt på Mac" sqref="L5 J14:M44" xr:uid="{00000000-0002-0000-0900-000000000000}"/>
  </dataValidations>
  <printOptions verticalCentered="1"/>
  <pageMargins left="0.6692913385826772" right="0.47244094488188981" top="0.78740157480314965" bottom="0.62992125984251968" header="0.51181102362204722" footer="0.51181102362204722"/>
  <pageSetup paperSize="9" scale="87" orientation="portrait" blackAndWhite="1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Blad42271">
    <pageSetUpPr fitToPage="1"/>
  </sheetPr>
  <dimension ref="A1:P62"/>
  <sheetViews>
    <sheetView showGridLines="0" showRowColHeaders="0" showZeros="0" topLeftCell="A9" zoomScale="80" workbookViewId="0">
      <pane ySplit="5" topLeftCell="A14" activePane="bottomLeft" state="frozenSplit"/>
      <selection activeCell="H53" sqref="H53:J53"/>
      <selection pane="bottomLeft" activeCell="J15" sqref="J15"/>
    </sheetView>
  </sheetViews>
  <sheetFormatPr defaultColWidth="11.3828125" defaultRowHeight="12.45"/>
  <cols>
    <col min="1" max="1" width="2.84375" style="284" customWidth="1"/>
    <col min="2" max="2" width="8.84375" style="318" hidden="1" customWidth="1"/>
    <col min="3" max="3" width="4.53515625" style="320" hidden="1" customWidth="1"/>
    <col min="4" max="4" width="11.3828125" style="354" hidden="1" customWidth="1"/>
    <col min="5" max="5" width="8.3828125" style="354" hidden="1" customWidth="1"/>
    <col min="6" max="6" width="7.15234375" style="30" hidden="1" customWidth="1"/>
    <col min="7" max="7" width="1.53515625" style="30" hidden="1" customWidth="1"/>
    <col min="8" max="8" width="4.3828125" style="1" customWidth="1"/>
    <col min="9" max="9" width="7.53515625" style="1" customWidth="1"/>
    <col min="10" max="13" width="8.15234375" style="6" customWidth="1"/>
    <col min="14" max="14" width="11.07421875" style="8" customWidth="1"/>
    <col min="15" max="15" width="36.15234375" style="1" customWidth="1"/>
    <col min="16" max="16" width="11.15234375" style="1" customWidth="1"/>
    <col min="17" max="16384" width="11.3828125" style="1"/>
  </cols>
  <sheetData>
    <row r="1" spans="1:16" s="15" customFormat="1" ht="16" customHeight="1">
      <c r="A1" s="21" t="s">
        <v>30</v>
      </c>
      <c r="B1" s="315"/>
      <c r="C1" s="315"/>
      <c r="D1" s="272"/>
      <c r="E1" s="272"/>
      <c r="F1" s="272"/>
      <c r="G1" s="272"/>
      <c r="P1" s="27" t="s">
        <v>31</v>
      </c>
    </row>
    <row r="2" spans="1:16" s="262" customFormat="1" ht="14.25" customHeight="1">
      <c r="A2" s="145">
        <f>inst</f>
        <v>0</v>
      </c>
      <c r="B2" s="317"/>
      <c r="C2" s="317"/>
      <c r="D2" s="145"/>
      <c r="E2" s="145"/>
      <c r="F2" s="145"/>
      <c r="G2" s="145"/>
    </row>
    <row r="3" spans="1:16" s="16" customFormat="1" ht="15.75" customHeight="1">
      <c r="A3" s="17"/>
      <c r="B3" s="318"/>
      <c r="C3" s="318"/>
      <c r="D3" s="17"/>
      <c r="E3" s="17"/>
      <c r="F3" s="17"/>
      <c r="G3" s="17"/>
      <c r="L3" s="29"/>
    </row>
    <row r="4" spans="1:16" ht="15.75" customHeight="1">
      <c r="A4" s="17"/>
      <c r="C4" s="318"/>
      <c r="D4" s="176"/>
      <c r="E4" s="176"/>
      <c r="F4" s="17"/>
      <c r="G4" s="17"/>
      <c r="H4" s="30"/>
      <c r="I4" s="30"/>
      <c r="J4" s="30"/>
      <c r="K4" s="30"/>
      <c r="L4" s="30"/>
      <c r="M4" s="30"/>
      <c r="N4" s="30"/>
      <c r="O4" s="31" t="s">
        <v>34</v>
      </c>
      <c r="P4" s="32">
        <f>H14</f>
        <v>43951</v>
      </c>
    </row>
    <row r="5" spans="1:16" ht="15.75" customHeight="1">
      <c r="A5" s="17"/>
      <c r="C5" s="318"/>
      <c r="D5" s="176"/>
      <c r="E5" s="176"/>
      <c r="F5" s="17"/>
      <c r="G5" s="17"/>
      <c r="H5" s="30"/>
      <c r="I5" s="30"/>
      <c r="J5" s="30"/>
      <c r="K5" s="30"/>
      <c r="L5" s="17"/>
      <c r="M5" s="30"/>
      <c r="N5" s="30"/>
      <c r="O5" s="31" t="s">
        <v>33</v>
      </c>
      <c r="P5" s="33">
        <f>H14</f>
        <v>43951</v>
      </c>
    </row>
    <row r="6" spans="1:16" ht="15.75" customHeight="1">
      <c r="A6" s="17"/>
      <c r="B6" s="17"/>
      <c r="C6" s="318"/>
      <c r="D6" s="17"/>
      <c r="E6" s="17"/>
      <c r="F6" s="17"/>
      <c r="G6" s="17"/>
      <c r="H6" s="30"/>
      <c r="I6" s="30"/>
      <c r="J6" s="30"/>
      <c r="K6" s="30"/>
      <c r="L6" s="30"/>
      <c r="M6" s="30"/>
      <c r="N6" s="30"/>
      <c r="O6" s="30"/>
      <c r="P6" s="30"/>
    </row>
    <row r="7" spans="1:16" ht="12.75" customHeight="1" thickBot="1">
      <c r="A7" s="269"/>
      <c r="H7" s="422" t="s">
        <v>73</v>
      </c>
      <c r="I7" s="423"/>
      <c r="J7" s="423"/>
      <c r="K7" s="423"/>
      <c r="L7" s="423"/>
      <c r="M7" s="423"/>
      <c r="N7" s="422" t="s">
        <v>74</v>
      </c>
      <c r="O7" s="422" t="s">
        <v>72</v>
      </c>
      <c r="P7" s="424"/>
    </row>
    <row r="8" spans="1:16" s="2" customFormat="1" ht="17.25" customHeight="1" thickBot="1">
      <c r="A8" s="269"/>
      <c r="B8" s="318"/>
      <c r="C8" s="321"/>
      <c r="D8" s="453" t="s">
        <v>120</v>
      </c>
      <c r="E8" s="392">
        <f ca="1">INT((LEN(fel_1)+LEN(fel_2)+LEN(fel_3))/60)+COUNTIF(B14:C38,"1")</f>
        <v>3</v>
      </c>
      <c r="F8" s="323"/>
      <c r="G8" s="323"/>
      <c r="H8" s="39" t="str">
        <f>IF(namn&lt;&gt;"","  "&amp;namn,"")</f>
        <v/>
      </c>
      <c r="I8" s="40"/>
      <c r="J8" s="41"/>
      <c r="K8" s="41"/>
      <c r="L8" s="41"/>
      <c r="M8" s="41"/>
      <c r="N8" s="180">
        <f>tjänst</f>
        <v>1</v>
      </c>
      <c r="O8" s="42" t="str">
        <f>IF(p_nr&lt;&gt;"","  "&amp;p_nr,"")</f>
        <v/>
      </c>
      <c r="P8" s="287"/>
    </row>
    <row r="9" spans="1:16" s="2" customFormat="1" ht="3" customHeight="1">
      <c r="A9" s="269"/>
      <c r="B9" s="454"/>
      <c r="C9" s="455"/>
      <c r="D9" s="436"/>
      <c r="E9" s="436"/>
      <c r="F9" s="436"/>
      <c r="G9" s="402"/>
      <c r="H9" s="415"/>
      <c r="I9" s="415"/>
      <c r="J9" s="415"/>
      <c r="K9" s="415"/>
      <c r="L9" s="415"/>
      <c r="M9" s="415"/>
      <c r="N9" s="416"/>
      <c r="O9" s="417"/>
      <c r="P9" s="418"/>
    </row>
    <row r="10" spans="1:16" s="14" customFormat="1" ht="12.75" customHeight="1">
      <c r="A10" s="324"/>
      <c r="B10" s="559" t="s">
        <v>135</v>
      </c>
      <c r="C10" s="560"/>
      <c r="D10" s="437" t="s">
        <v>119</v>
      </c>
      <c r="E10" s="437" t="s">
        <v>121</v>
      </c>
      <c r="F10" s="438" t="s">
        <v>116</v>
      </c>
      <c r="G10" s="390"/>
      <c r="H10" s="409" t="s">
        <v>88</v>
      </c>
      <c r="I10" s="409" t="s">
        <v>39</v>
      </c>
      <c r="J10" s="410" t="s">
        <v>14</v>
      </c>
      <c r="K10" s="410" t="s">
        <v>15</v>
      </c>
      <c r="L10" s="410" t="s">
        <v>15</v>
      </c>
      <c r="M10" s="410" t="s">
        <v>14</v>
      </c>
      <c r="N10" s="411" t="s">
        <v>145</v>
      </c>
      <c r="O10" s="409" t="s">
        <v>76</v>
      </c>
      <c r="P10" s="412" t="s">
        <v>77</v>
      </c>
    </row>
    <row r="11" spans="1:16" s="14" customFormat="1" ht="12.75" customHeight="1">
      <c r="A11" s="324"/>
      <c r="B11" s="439" t="s">
        <v>118</v>
      </c>
      <c r="C11" s="456" t="s">
        <v>101</v>
      </c>
      <c r="D11" s="437" t="s">
        <v>118</v>
      </c>
      <c r="E11" s="437" t="s">
        <v>122</v>
      </c>
      <c r="F11" s="439" t="s">
        <v>117</v>
      </c>
      <c r="G11" s="391"/>
      <c r="H11" s="409" t="s">
        <v>9</v>
      </c>
      <c r="I11" s="409" t="s">
        <v>10</v>
      </c>
      <c r="J11" s="413" t="s">
        <v>16</v>
      </c>
      <c r="K11" s="414" t="s">
        <v>16</v>
      </c>
      <c r="L11" s="414" t="s">
        <v>17</v>
      </c>
      <c r="M11" s="410" t="s">
        <v>18</v>
      </c>
      <c r="N11" s="419" t="str">
        <f ca="1">IF(INFO("system")="mac","tim.minut","tim:minut")</f>
        <v>tim:minut</v>
      </c>
      <c r="O11" s="420" t="s">
        <v>164</v>
      </c>
      <c r="P11" s="421" t="s">
        <v>161</v>
      </c>
    </row>
    <row r="12" spans="1:16" s="2" customFormat="1" ht="3" customHeight="1">
      <c r="A12" s="269"/>
      <c r="B12" s="439"/>
      <c r="C12" s="456"/>
      <c r="D12" s="439"/>
      <c r="E12" s="439"/>
      <c r="F12" s="439"/>
      <c r="G12" s="402"/>
      <c r="H12" s="409"/>
      <c r="I12" s="409"/>
      <c r="J12" s="409"/>
      <c r="K12" s="409"/>
      <c r="L12" s="409"/>
      <c r="M12" s="409"/>
      <c r="N12" s="425"/>
      <c r="O12" s="412"/>
      <c r="P12" s="426"/>
    </row>
    <row r="13" spans="1:16" s="172" customFormat="1" ht="18" customHeight="1" thickBot="1">
      <c r="A13" s="329"/>
      <c r="B13" s="449" t="s">
        <v>10</v>
      </c>
      <c r="C13" s="457" t="s">
        <v>102</v>
      </c>
      <c r="D13" s="448" t="s">
        <v>22</v>
      </c>
      <c r="E13" s="448" t="s">
        <v>123</v>
      </c>
      <c r="F13" s="449" t="s">
        <v>142</v>
      </c>
      <c r="G13" s="401"/>
      <c r="H13" s="167" t="str">
        <f>IF(LEN(J13)&gt;0,"  INFO:","")</f>
        <v xml:space="preserve">  INFO:</v>
      </c>
      <c r="I13" s="168"/>
      <c r="J13" s="544" t="str">
        <f>IF(LEN(fel_1)&gt;0,fel_1,IF(LEN(fel_2)&gt;0,fel_2,IF(LEN(fel_3)&gt;0,fel_3,IF(LEN(fel_4)&gt;0,fel_4,IF(SUMIF(B14:B44,"&gt;0"),semfel_1&amp;TEXT(VLOOKUP(1,B14:P44,7),"D MMM")&amp;semfel_2,IF(COUNTIF(C14:C44,"1"),ändr_fel,""))))))</f>
        <v>Du har glömt ange namn och/eller personnr på fliken "Grunddata"!</v>
      </c>
      <c r="K13" s="545"/>
      <c r="L13" s="545"/>
      <c r="M13" s="545"/>
      <c r="N13" s="545"/>
      <c r="O13" s="545"/>
      <c r="P13" s="171" t="str">
        <f ca="1">IF(E8&gt;1,"Tot. "&amp;E8&amp;" fel","")</f>
        <v>Tot. 3 fel</v>
      </c>
    </row>
    <row r="14" spans="1:16" ht="17.25" customHeight="1">
      <c r="A14" s="334"/>
      <c r="B14" s="479" t="str">
        <f t="shared" ref="B14:B44" ca="1" si="0">IF(AND(F14="ej sem",OR(LEFT(O14,3)="sem",LEFT(O14,4)="sjuk")),1,"")</f>
        <v/>
      </c>
      <c r="C14" s="480" t="str">
        <f t="shared" ref="C14:C44" ca="1" si="1">IF(NOT(ISERROR(E14)),"",IF(N14&lt;&gt;"",IF(ERROR.TYPE(E14)=3,1,),))</f>
        <v/>
      </c>
      <c r="D14" s="388">
        <f t="shared" ref="D14:D44" ca="1" si="2">IF(TODAY()&gt;=H14,IF(AND(LEFT(O14,3)="SEM",F14&lt;&gt;"ej sem"),1,IF(AND(LEFT(O14,4)="sjuk",F14&lt;&gt;"ej sem"),100,0)),0)</f>
        <v>0</v>
      </c>
      <c r="E14" s="381">
        <f t="shared" ref="E14:E44" ca="1" si="3">IF(AND(TODAY()&gt;=H14,F14&gt;0,OR(J14&gt;0,L14&gt;0,N14&lt;&gt;0)),((M14-L14+K14-J14)+IF(ISBLANK(N14),0,IF(LEFT(N14,1)="-",-TIMEVALUE(RIGHT(N14,LEN(N14)-1)),IF(LEFT(N14,1)="+",TIMEVALUE(RIGHT(N14,LEN(N14)-1)),TIMEVALUE(N14)))))*24,IF(OR(D14=1,D14=100),F14*tjänst,0))</f>
        <v>0</v>
      </c>
      <c r="F14" s="183">
        <f ca="1">IF(AND(H14&gt;=startdag,H14&lt;=slutdag),IF(TODAY()&gt;=H14,Normtid!P5,0),0)</f>
        <v>0</v>
      </c>
      <c r="G14" s="403"/>
      <c r="H14" s="375">
        <f>Normtid!O5</f>
        <v>43951</v>
      </c>
      <c r="I14" s="376" t="str">
        <f t="shared" ref="I14:I44" si="4">PROPER(TEXT(WEEKDAY(H14)+1,"DDD"))</f>
        <v>Ons</v>
      </c>
      <c r="J14" s="377"/>
      <c r="K14" s="377"/>
      <c r="L14" s="377"/>
      <c r="M14" s="378"/>
      <c r="N14" s="379"/>
      <c r="O14" s="380" t="str">
        <f>Normtid!$Q5</f>
        <v>Första maj</v>
      </c>
      <c r="P14" s="381">
        <f t="shared" ref="P14:P44" ca="1" si="5">IF(E14&lt;&gt;0,E14,0)</f>
        <v>0</v>
      </c>
    </row>
    <row r="15" spans="1:16" ht="15.75" customHeight="1">
      <c r="B15" s="460" t="str">
        <f t="shared" ca="1" si="0"/>
        <v/>
      </c>
      <c r="C15" s="461" t="str">
        <f t="shared" ca="1" si="1"/>
        <v/>
      </c>
      <c r="D15" s="195">
        <f t="shared" ca="1" si="2"/>
        <v>0</v>
      </c>
      <c r="E15" s="196">
        <f t="shared" ca="1" si="3"/>
        <v>0</v>
      </c>
      <c r="F15" s="191">
        <f ca="1">IF(AND(H15&gt;=startdag,H15&lt;=slutdag),IF(TODAY()&gt;=H15,Normtid!P6,0),0)</f>
        <v>0</v>
      </c>
      <c r="G15" s="403"/>
      <c r="H15" s="189">
        <f>Normtid!O6</f>
        <v>43952</v>
      </c>
      <c r="I15" s="190" t="str">
        <f t="shared" si="4"/>
        <v>Tor</v>
      </c>
      <c r="J15" s="192"/>
      <c r="K15" s="192"/>
      <c r="L15" s="192"/>
      <c r="M15" s="202"/>
      <c r="N15" s="383"/>
      <c r="O15" s="194" t="str">
        <f>Normtid!$Q6</f>
        <v/>
      </c>
      <c r="P15" s="196">
        <f t="shared" ca="1" si="5"/>
        <v>0</v>
      </c>
    </row>
    <row r="16" spans="1:16" ht="15.75" customHeight="1">
      <c r="B16" s="462" t="str">
        <f t="shared" ca="1" si="0"/>
        <v/>
      </c>
      <c r="C16" s="463" t="str">
        <f t="shared" ca="1" si="1"/>
        <v/>
      </c>
      <c r="D16" s="388">
        <f t="shared" ca="1" si="2"/>
        <v>0</v>
      </c>
      <c r="E16" s="188">
        <f t="shared" ca="1" si="3"/>
        <v>0</v>
      </c>
      <c r="F16" s="183">
        <f ca="1">IF(AND(H16&gt;=startdag,H16&lt;=slutdag),IF(TODAY()&gt;=H16,Normtid!P7,0),0)</f>
        <v>0</v>
      </c>
      <c r="G16" s="403"/>
      <c r="H16" s="181">
        <f>Normtid!O7</f>
        <v>43953</v>
      </c>
      <c r="I16" s="182" t="str">
        <f t="shared" si="4"/>
        <v>Fre</v>
      </c>
      <c r="J16" s="184"/>
      <c r="K16" s="184"/>
      <c r="L16" s="184"/>
      <c r="M16" s="204"/>
      <c r="N16" s="379"/>
      <c r="O16" s="186" t="str">
        <f>Normtid!$Q7</f>
        <v/>
      </c>
      <c r="P16" s="188">
        <f t="shared" ca="1" si="5"/>
        <v>0</v>
      </c>
    </row>
    <row r="17" spans="2:16" ht="15.75" customHeight="1">
      <c r="B17" s="460" t="str">
        <f t="shared" ca="1" si="0"/>
        <v/>
      </c>
      <c r="C17" s="461" t="str">
        <f t="shared" ca="1" si="1"/>
        <v/>
      </c>
      <c r="D17" s="195">
        <f t="shared" ca="1" si="2"/>
        <v>0</v>
      </c>
      <c r="E17" s="196">
        <f t="shared" ca="1" si="3"/>
        <v>0</v>
      </c>
      <c r="F17" s="191">
        <f ca="1">IF(AND(H17&gt;=startdag,H17&lt;=slutdag),IF(TODAY()&gt;=H17,Normtid!P8,0),0)</f>
        <v>0</v>
      </c>
      <c r="G17" s="403"/>
      <c r="H17" s="189">
        <f>Normtid!O8</f>
        <v>43954</v>
      </c>
      <c r="I17" s="190" t="str">
        <f t="shared" si="4"/>
        <v>Lör</v>
      </c>
      <c r="J17" s="192"/>
      <c r="K17" s="192"/>
      <c r="L17" s="192"/>
      <c r="M17" s="202"/>
      <c r="N17" s="383"/>
      <c r="O17" s="194" t="str">
        <f>Normtid!$Q8</f>
        <v/>
      </c>
      <c r="P17" s="196">
        <f t="shared" ca="1" si="5"/>
        <v>0</v>
      </c>
    </row>
    <row r="18" spans="2:16" ht="15.75" customHeight="1">
      <c r="B18" s="462" t="str">
        <f t="shared" ca="1" si="0"/>
        <v/>
      </c>
      <c r="C18" s="463" t="str">
        <f t="shared" ca="1" si="1"/>
        <v/>
      </c>
      <c r="D18" s="388">
        <f t="shared" ca="1" si="2"/>
        <v>0</v>
      </c>
      <c r="E18" s="188">
        <f t="shared" ca="1" si="3"/>
        <v>0</v>
      </c>
      <c r="F18" s="183">
        <f ca="1">IF(AND(H18&gt;=startdag,H18&lt;=slutdag),IF(TODAY()&gt;=H18,Normtid!P9,0),0)</f>
        <v>0</v>
      </c>
      <c r="G18" s="403"/>
      <c r="H18" s="181">
        <f>Normtid!O9</f>
        <v>43955</v>
      </c>
      <c r="I18" s="182" t="str">
        <f t="shared" si="4"/>
        <v>Sön</v>
      </c>
      <c r="J18" s="184"/>
      <c r="K18" s="184"/>
      <c r="L18" s="184"/>
      <c r="M18" s="204"/>
      <c r="N18" s="379"/>
      <c r="O18" s="186" t="str">
        <f>Normtid!$Q9</f>
        <v/>
      </c>
      <c r="P18" s="188">
        <f t="shared" ca="1" si="5"/>
        <v>0</v>
      </c>
    </row>
    <row r="19" spans="2:16" ht="15.75" customHeight="1">
      <c r="B19" s="460" t="str">
        <f t="shared" ca="1" si="0"/>
        <v/>
      </c>
      <c r="C19" s="461" t="str">
        <f t="shared" ca="1" si="1"/>
        <v/>
      </c>
      <c r="D19" s="195">
        <f t="shared" ca="1" si="2"/>
        <v>0</v>
      </c>
      <c r="E19" s="196">
        <f t="shared" ca="1" si="3"/>
        <v>0</v>
      </c>
      <c r="F19" s="191">
        <f ca="1">IF(AND(H19&gt;=startdag,H19&lt;=slutdag),IF(TODAY()&gt;=H19,Normtid!P10,0),0)</f>
        <v>0</v>
      </c>
      <c r="G19" s="403"/>
      <c r="H19" s="189">
        <f>Normtid!O10</f>
        <v>43956</v>
      </c>
      <c r="I19" s="190" t="str">
        <f t="shared" si="4"/>
        <v>Mån</v>
      </c>
      <c r="J19" s="192"/>
      <c r="K19" s="192"/>
      <c r="L19" s="192"/>
      <c r="M19" s="202"/>
      <c r="N19" s="383"/>
      <c r="O19" s="194" t="str">
        <f>Normtid!$Q10</f>
        <v/>
      </c>
      <c r="P19" s="196">
        <f t="shared" ca="1" si="5"/>
        <v>0</v>
      </c>
    </row>
    <row r="20" spans="2:16" ht="15.75" customHeight="1">
      <c r="B20" s="462" t="str">
        <f t="shared" ca="1" si="0"/>
        <v/>
      </c>
      <c r="C20" s="463" t="str">
        <f t="shared" ca="1" si="1"/>
        <v/>
      </c>
      <c r="D20" s="388">
        <f t="shared" ca="1" si="2"/>
        <v>0</v>
      </c>
      <c r="E20" s="188">
        <f t="shared" ca="1" si="3"/>
        <v>0</v>
      </c>
      <c r="F20" s="183">
        <f ca="1">IF(AND(H20&gt;=startdag,H20&lt;=slutdag),IF(TODAY()&gt;=H20,Normtid!P11,0),0)</f>
        <v>0</v>
      </c>
      <c r="G20" s="403"/>
      <c r="H20" s="181">
        <f>Normtid!O11</f>
        <v>43957</v>
      </c>
      <c r="I20" s="182" t="str">
        <f t="shared" si="4"/>
        <v>Tis</v>
      </c>
      <c r="J20" s="184"/>
      <c r="K20" s="184"/>
      <c r="L20" s="184"/>
      <c r="M20" s="204"/>
      <c r="N20" s="379"/>
      <c r="O20" s="186" t="str">
        <f>Normtid!$Q11</f>
        <v/>
      </c>
      <c r="P20" s="188">
        <f t="shared" ca="1" si="5"/>
        <v>0</v>
      </c>
    </row>
    <row r="21" spans="2:16" ht="15.75" customHeight="1">
      <c r="B21" s="460" t="str">
        <f t="shared" ca="1" si="0"/>
        <v/>
      </c>
      <c r="C21" s="461" t="str">
        <f t="shared" ca="1" si="1"/>
        <v/>
      </c>
      <c r="D21" s="195">
        <f t="shared" ca="1" si="2"/>
        <v>0</v>
      </c>
      <c r="E21" s="196">
        <f t="shared" ca="1" si="3"/>
        <v>0</v>
      </c>
      <c r="F21" s="191">
        <f ca="1">IF(AND(H21&gt;=startdag,H21&lt;=slutdag),IF(TODAY()&gt;=H21,Normtid!P12,0),0)</f>
        <v>0</v>
      </c>
      <c r="G21" s="403"/>
      <c r="H21" s="189">
        <f>Normtid!O12</f>
        <v>43958</v>
      </c>
      <c r="I21" s="190" t="str">
        <f t="shared" si="4"/>
        <v>Ons</v>
      </c>
      <c r="J21" s="192"/>
      <c r="K21" s="192"/>
      <c r="L21" s="192"/>
      <c r="M21" s="202"/>
      <c r="N21" s="383"/>
      <c r="O21" s="194" t="str">
        <f>Normtid!$Q12</f>
        <v/>
      </c>
      <c r="P21" s="196">
        <f t="shared" ca="1" si="5"/>
        <v>0</v>
      </c>
    </row>
    <row r="22" spans="2:16" ht="15.75" customHeight="1">
      <c r="B22" s="462" t="str">
        <f t="shared" ca="1" si="0"/>
        <v/>
      </c>
      <c r="C22" s="463" t="str">
        <f t="shared" ca="1" si="1"/>
        <v/>
      </c>
      <c r="D22" s="388">
        <f t="shared" ca="1" si="2"/>
        <v>0</v>
      </c>
      <c r="E22" s="188">
        <f t="shared" ca="1" si="3"/>
        <v>0</v>
      </c>
      <c r="F22" s="183">
        <f ca="1">IF(AND(H22&gt;=startdag,H22&lt;=slutdag),IF(TODAY()&gt;=H22,Normtid!P13,0),0)</f>
        <v>0</v>
      </c>
      <c r="G22" s="403"/>
      <c r="H22" s="181">
        <f>Normtid!O13</f>
        <v>43959</v>
      </c>
      <c r="I22" s="182" t="str">
        <f t="shared" si="4"/>
        <v>Tor</v>
      </c>
      <c r="J22" s="184"/>
      <c r="K22" s="184"/>
      <c r="L22" s="184"/>
      <c r="M22" s="204"/>
      <c r="N22" s="379"/>
      <c r="O22" s="186" t="str">
        <f>Normtid!$Q13</f>
        <v>Kristi himmelsfärdsdag</v>
      </c>
      <c r="P22" s="188">
        <f t="shared" ca="1" si="5"/>
        <v>0</v>
      </c>
    </row>
    <row r="23" spans="2:16" ht="15.75" customHeight="1">
      <c r="B23" s="460" t="str">
        <f t="shared" ca="1" si="0"/>
        <v/>
      </c>
      <c r="C23" s="461" t="str">
        <f t="shared" ca="1" si="1"/>
        <v/>
      </c>
      <c r="D23" s="195">
        <f t="shared" ca="1" si="2"/>
        <v>0</v>
      </c>
      <c r="E23" s="196">
        <f t="shared" ca="1" si="3"/>
        <v>0</v>
      </c>
      <c r="F23" s="191">
        <f ca="1">IF(AND(H23&gt;=startdag,H23&lt;=slutdag),IF(TODAY()&gt;=H23,Normtid!P14,0),0)</f>
        <v>0</v>
      </c>
      <c r="G23" s="403"/>
      <c r="H23" s="189">
        <f>Normtid!O14</f>
        <v>43960</v>
      </c>
      <c r="I23" s="190" t="str">
        <f t="shared" si="4"/>
        <v>Fre</v>
      </c>
      <c r="J23" s="192"/>
      <c r="K23" s="192"/>
      <c r="L23" s="192"/>
      <c r="M23" s="202"/>
      <c r="N23" s="383"/>
      <c r="O23" s="194" t="str">
        <f>Normtid!$Q14</f>
        <v>Klämdag</v>
      </c>
      <c r="P23" s="196">
        <f t="shared" ca="1" si="5"/>
        <v>0</v>
      </c>
    </row>
    <row r="24" spans="2:16" ht="15.75" customHeight="1">
      <c r="B24" s="462" t="str">
        <f t="shared" ca="1" si="0"/>
        <v/>
      </c>
      <c r="C24" s="463" t="str">
        <f t="shared" ca="1" si="1"/>
        <v/>
      </c>
      <c r="D24" s="388">
        <f t="shared" ca="1" si="2"/>
        <v>0</v>
      </c>
      <c r="E24" s="188">
        <f t="shared" ca="1" si="3"/>
        <v>0</v>
      </c>
      <c r="F24" s="183">
        <f ca="1">IF(AND(H24&gt;=startdag,H24&lt;=slutdag),IF(TODAY()&gt;=H24,Normtid!P15,0),0)</f>
        <v>0</v>
      </c>
      <c r="G24" s="403"/>
      <c r="H24" s="181">
        <f>Normtid!O15</f>
        <v>43961</v>
      </c>
      <c r="I24" s="182" t="str">
        <f t="shared" si="4"/>
        <v>Lör</v>
      </c>
      <c r="J24" s="184"/>
      <c r="K24" s="184"/>
      <c r="L24" s="184"/>
      <c r="M24" s="204"/>
      <c r="N24" s="379"/>
      <c r="O24" s="186" t="str">
        <f>Normtid!$Q15</f>
        <v/>
      </c>
      <c r="P24" s="188">
        <f t="shared" ca="1" si="5"/>
        <v>0</v>
      </c>
    </row>
    <row r="25" spans="2:16" ht="15.75" customHeight="1">
      <c r="B25" s="460" t="str">
        <f t="shared" ca="1" si="0"/>
        <v/>
      </c>
      <c r="C25" s="461" t="str">
        <f t="shared" ca="1" si="1"/>
        <v/>
      </c>
      <c r="D25" s="195">
        <f t="shared" ca="1" si="2"/>
        <v>0</v>
      </c>
      <c r="E25" s="196">
        <f t="shared" ca="1" si="3"/>
        <v>0</v>
      </c>
      <c r="F25" s="191">
        <f ca="1">IF(AND(H25&gt;=startdag,H25&lt;=slutdag),IF(TODAY()&gt;=H25,Normtid!P16,0),0)</f>
        <v>0</v>
      </c>
      <c r="G25" s="403"/>
      <c r="H25" s="189">
        <f>Normtid!O16</f>
        <v>43962</v>
      </c>
      <c r="I25" s="190" t="str">
        <f t="shared" si="4"/>
        <v>Sön</v>
      </c>
      <c r="J25" s="192"/>
      <c r="K25" s="192"/>
      <c r="L25" s="192"/>
      <c r="M25" s="202"/>
      <c r="N25" s="383"/>
      <c r="O25" s="194" t="str">
        <f>Normtid!$Q16</f>
        <v/>
      </c>
      <c r="P25" s="196">
        <f t="shared" ca="1" si="5"/>
        <v>0</v>
      </c>
    </row>
    <row r="26" spans="2:16" ht="15.75" customHeight="1">
      <c r="B26" s="462" t="str">
        <f t="shared" ca="1" si="0"/>
        <v/>
      </c>
      <c r="C26" s="463" t="str">
        <f t="shared" ca="1" si="1"/>
        <v/>
      </c>
      <c r="D26" s="388">
        <f t="shared" ca="1" si="2"/>
        <v>0</v>
      </c>
      <c r="E26" s="188">
        <f t="shared" ca="1" si="3"/>
        <v>0</v>
      </c>
      <c r="F26" s="183">
        <f ca="1">IF(AND(H26&gt;=startdag,H26&lt;=slutdag),IF(TODAY()&gt;=H26,Normtid!P17,0),0)</f>
        <v>0</v>
      </c>
      <c r="G26" s="403"/>
      <c r="H26" s="181">
        <f>Normtid!O17</f>
        <v>43963</v>
      </c>
      <c r="I26" s="182" t="str">
        <f t="shared" si="4"/>
        <v>Mån</v>
      </c>
      <c r="J26" s="184"/>
      <c r="K26" s="184"/>
      <c r="L26" s="184"/>
      <c r="M26" s="204"/>
      <c r="N26" s="379"/>
      <c r="O26" s="186" t="str">
        <f>Normtid!$Q17</f>
        <v/>
      </c>
      <c r="P26" s="188">
        <f t="shared" ca="1" si="5"/>
        <v>0</v>
      </c>
    </row>
    <row r="27" spans="2:16" ht="15.75" customHeight="1">
      <c r="B27" s="460" t="str">
        <f t="shared" ca="1" si="0"/>
        <v/>
      </c>
      <c r="C27" s="461" t="str">
        <f t="shared" ca="1" si="1"/>
        <v/>
      </c>
      <c r="D27" s="195">
        <f t="shared" ca="1" si="2"/>
        <v>0</v>
      </c>
      <c r="E27" s="196">
        <f t="shared" ca="1" si="3"/>
        <v>0</v>
      </c>
      <c r="F27" s="191">
        <f ca="1">IF(AND(H27&gt;=startdag,H27&lt;=slutdag),IF(TODAY()&gt;=H27,Normtid!P18,0),0)</f>
        <v>0</v>
      </c>
      <c r="G27" s="403"/>
      <c r="H27" s="189">
        <f>Normtid!O18</f>
        <v>43964</v>
      </c>
      <c r="I27" s="190" t="str">
        <f t="shared" si="4"/>
        <v>Tis</v>
      </c>
      <c r="J27" s="192"/>
      <c r="K27" s="192"/>
      <c r="L27" s="192"/>
      <c r="M27" s="202"/>
      <c r="N27" s="383"/>
      <c r="O27" s="194" t="str">
        <f>Normtid!$Q18</f>
        <v/>
      </c>
      <c r="P27" s="196">
        <f t="shared" ca="1" si="5"/>
        <v>0</v>
      </c>
    </row>
    <row r="28" spans="2:16" ht="15.75" customHeight="1">
      <c r="B28" s="462" t="str">
        <f t="shared" ca="1" si="0"/>
        <v/>
      </c>
      <c r="C28" s="463" t="str">
        <f t="shared" ca="1" si="1"/>
        <v/>
      </c>
      <c r="D28" s="388">
        <f t="shared" ca="1" si="2"/>
        <v>0</v>
      </c>
      <c r="E28" s="188">
        <f t="shared" ca="1" si="3"/>
        <v>0</v>
      </c>
      <c r="F28" s="183">
        <f ca="1">IF(AND(H28&gt;=startdag,H28&lt;=slutdag),IF(TODAY()&gt;=H28,Normtid!P19,0),0)</f>
        <v>0</v>
      </c>
      <c r="G28" s="403"/>
      <c r="H28" s="181">
        <f>Normtid!O19</f>
        <v>43965</v>
      </c>
      <c r="I28" s="182" t="str">
        <f t="shared" si="4"/>
        <v>Ons</v>
      </c>
      <c r="J28" s="184"/>
      <c r="K28" s="184"/>
      <c r="L28" s="184"/>
      <c r="M28" s="204"/>
      <c r="N28" s="379"/>
      <c r="O28" s="186" t="str">
        <f>Normtid!$Q19</f>
        <v/>
      </c>
      <c r="P28" s="188">
        <f t="shared" ca="1" si="5"/>
        <v>0</v>
      </c>
    </row>
    <row r="29" spans="2:16" ht="15.75" customHeight="1">
      <c r="B29" s="460" t="str">
        <f t="shared" ca="1" si="0"/>
        <v/>
      </c>
      <c r="C29" s="461" t="str">
        <f t="shared" ca="1" si="1"/>
        <v/>
      </c>
      <c r="D29" s="195">
        <f t="shared" ca="1" si="2"/>
        <v>0</v>
      </c>
      <c r="E29" s="196">
        <f t="shared" ca="1" si="3"/>
        <v>0</v>
      </c>
      <c r="F29" s="191">
        <f ca="1">IF(AND(H29&gt;=startdag,H29&lt;=slutdag),IF(TODAY()&gt;=H29,Normtid!P20,0),0)</f>
        <v>0</v>
      </c>
      <c r="G29" s="403"/>
      <c r="H29" s="189">
        <f>Normtid!O20</f>
        <v>43966</v>
      </c>
      <c r="I29" s="190" t="str">
        <f t="shared" si="4"/>
        <v>Tor</v>
      </c>
      <c r="J29" s="192"/>
      <c r="K29" s="192"/>
      <c r="L29" s="192"/>
      <c r="M29" s="202"/>
      <c r="N29" s="383"/>
      <c r="O29" s="194"/>
      <c r="P29" s="196">
        <f t="shared" ca="1" si="5"/>
        <v>0</v>
      </c>
    </row>
    <row r="30" spans="2:16" ht="15.75" customHeight="1">
      <c r="B30" s="462" t="str">
        <f t="shared" ca="1" si="0"/>
        <v/>
      </c>
      <c r="C30" s="463" t="str">
        <f t="shared" ca="1" si="1"/>
        <v/>
      </c>
      <c r="D30" s="388">
        <f t="shared" ca="1" si="2"/>
        <v>0</v>
      </c>
      <c r="E30" s="188">
        <f t="shared" ca="1" si="3"/>
        <v>0</v>
      </c>
      <c r="F30" s="183">
        <f ca="1">IF(AND(H30&gt;=startdag,H30&lt;=slutdag),IF(TODAY()&gt;=H30,Normtid!P21,0),0)</f>
        <v>0</v>
      </c>
      <c r="G30" s="403"/>
      <c r="H30" s="181">
        <f>Normtid!O21</f>
        <v>43967</v>
      </c>
      <c r="I30" s="182" t="str">
        <f t="shared" si="4"/>
        <v>Fre</v>
      </c>
      <c r="J30" s="184"/>
      <c r="K30" s="184"/>
      <c r="L30" s="184"/>
      <c r="M30" s="204"/>
      <c r="N30" s="379"/>
      <c r="O30" s="186" t="str">
        <f>Normtid!$Q21</f>
        <v/>
      </c>
      <c r="P30" s="188">
        <f t="shared" ca="1" si="5"/>
        <v>0</v>
      </c>
    </row>
    <row r="31" spans="2:16" ht="15.75" customHeight="1">
      <c r="B31" s="460" t="str">
        <f t="shared" ca="1" si="0"/>
        <v/>
      </c>
      <c r="C31" s="461" t="str">
        <f t="shared" ca="1" si="1"/>
        <v/>
      </c>
      <c r="D31" s="195">
        <f t="shared" ca="1" si="2"/>
        <v>0</v>
      </c>
      <c r="E31" s="196">
        <f t="shared" ca="1" si="3"/>
        <v>0</v>
      </c>
      <c r="F31" s="191">
        <f ca="1">IF(AND(H31&gt;=startdag,H31&lt;=slutdag),IF(TODAY()&gt;=H31,Normtid!P22,0),0)</f>
        <v>0</v>
      </c>
      <c r="G31" s="403"/>
      <c r="H31" s="189">
        <f>Normtid!O22</f>
        <v>43968</v>
      </c>
      <c r="I31" s="190" t="str">
        <f t="shared" si="4"/>
        <v>Lör</v>
      </c>
      <c r="J31" s="192"/>
      <c r="K31" s="192"/>
      <c r="L31" s="192"/>
      <c r="M31" s="202"/>
      <c r="N31" s="383"/>
      <c r="O31" s="194" t="str">
        <f>Normtid!$Q22</f>
        <v>Pingstafton</v>
      </c>
      <c r="P31" s="196">
        <f t="shared" ca="1" si="5"/>
        <v>0</v>
      </c>
    </row>
    <row r="32" spans="2:16" ht="15.75" customHeight="1">
      <c r="B32" s="462" t="str">
        <f t="shared" ca="1" si="0"/>
        <v/>
      </c>
      <c r="C32" s="463" t="str">
        <f t="shared" ca="1" si="1"/>
        <v/>
      </c>
      <c r="D32" s="388">
        <f t="shared" ca="1" si="2"/>
        <v>0</v>
      </c>
      <c r="E32" s="188">
        <f t="shared" ca="1" si="3"/>
        <v>0</v>
      </c>
      <c r="F32" s="183">
        <f ca="1">IF(AND(H32&gt;=startdag,H32&lt;=slutdag),IF(TODAY()&gt;=H32,Normtid!P23,0),0)</f>
        <v>0</v>
      </c>
      <c r="G32" s="403"/>
      <c r="H32" s="181">
        <f>Normtid!O23</f>
        <v>43969</v>
      </c>
      <c r="I32" s="182" t="str">
        <f t="shared" si="4"/>
        <v>Sön</v>
      </c>
      <c r="J32" s="184"/>
      <c r="K32" s="184"/>
      <c r="L32" s="184"/>
      <c r="M32" s="204"/>
      <c r="N32" s="379"/>
      <c r="O32" s="186" t="str">
        <f>Normtid!$Q23</f>
        <v>Pingstdagen</v>
      </c>
      <c r="P32" s="188">
        <f t="shared" ca="1" si="5"/>
        <v>0</v>
      </c>
    </row>
    <row r="33" spans="1:16" ht="15.75" customHeight="1">
      <c r="B33" s="460" t="str">
        <f t="shared" ca="1" si="0"/>
        <v/>
      </c>
      <c r="C33" s="461" t="str">
        <f t="shared" ca="1" si="1"/>
        <v/>
      </c>
      <c r="D33" s="195">
        <f t="shared" ca="1" si="2"/>
        <v>0</v>
      </c>
      <c r="E33" s="196">
        <f t="shared" ca="1" si="3"/>
        <v>0</v>
      </c>
      <c r="F33" s="191">
        <f ca="1">IF(AND(H33&gt;=startdag,H33&lt;=slutdag),IF(TODAY()&gt;=H33,Normtid!P24,0),0)</f>
        <v>0</v>
      </c>
      <c r="G33" s="403"/>
      <c r="H33" s="189">
        <f>Normtid!O24</f>
        <v>43970</v>
      </c>
      <c r="I33" s="190" t="str">
        <f t="shared" si="4"/>
        <v>Mån</v>
      </c>
      <c r="J33" s="192"/>
      <c r="K33" s="192"/>
      <c r="L33" s="192"/>
      <c r="M33" s="202"/>
      <c r="N33" s="383"/>
      <c r="O33" s="194" t="str">
        <f>Normtid!$Q24</f>
        <v/>
      </c>
      <c r="P33" s="196">
        <f t="shared" ca="1" si="5"/>
        <v>0</v>
      </c>
    </row>
    <row r="34" spans="1:16" ht="15.75" customHeight="1">
      <c r="B34" s="462" t="str">
        <f t="shared" ca="1" si="0"/>
        <v/>
      </c>
      <c r="C34" s="463" t="str">
        <f t="shared" ca="1" si="1"/>
        <v/>
      </c>
      <c r="D34" s="388">
        <f t="shared" ca="1" si="2"/>
        <v>0</v>
      </c>
      <c r="E34" s="188">
        <f t="shared" ca="1" si="3"/>
        <v>0</v>
      </c>
      <c r="F34" s="183">
        <f ca="1">IF(AND(H34&gt;=startdag,H34&lt;=slutdag),IF(TODAY()&gt;=H34,Normtid!P25,0),0)</f>
        <v>0</v>
      </c>
      <c r="G34" s="403"/>
      <c r="H34" s="181">
        <f>Normtid!O25</f>
        <v>43971</v>
      </c>
      <c r="I34" s="182" t="str">
        <f t="shared" si="4"/>
        <v>Tis</v>
      </c>
      <c r="J34" s="184"/>
      <c r="K34" s="184"/>
      <c r="L34" s="184"/>
      <c r="M34" s="204"/>
      <c r="N34" s="379"/>
      <c r="O34" s="186" t="str">
        <f>Normtid!$Q25</f>
        <v/>
      </c>
      <c r="P34" s="188">
        <f t="shared" ca="1" si="5"/>
        <v>0</v>
      </c>
    </row>
    <row r="35" spans="1:16" ht="15.75" customHeight="1">
      <c r="B35" s="460" t="str">
        <f t="shared" ca="1" si="0"/>
        <v/>
      </c>
      <c r="C35" s="461" t="str">
        <f t="shared" ca="1" si="1"/>
        <v/>
      </c>
      <c r="D35" s="195">
        <f t="shared" ca="1" si="2"/>
        <v>0</v>
      </c>
      <c r="E35" s="196">
        <f t="shared" ca="1" si="3"/>
        <v>0</v>
      </c>
      <c r="F35" s="191">
        <f ca="1">IF(AND(H35&gt;=startdag,H35&lt;=slutdag),IF(TODAY()&gt;=H35,Normtid!P26,0),0)</f>
        <v>0</v>
      </c>
      <c r="G35" s="403"/>
      <c r="H35" s="189">
        <f>Normtid!O26</f>
        <v>43972</v>
      </c>
      <c r="I35" s="190" t="str">
        <f t="shared" si="4"/>
        <v>Ons</v>
      </c>
      <c r="J35" s="192"/>
      <c r="K35" s="192"/>
      <c r="L35" s="192"/>
      <c r="M35" s="202"/>
      <c r="N35" s="383"/>
      <c r="O35" s="194" t="str">
        <f>Normtid!$Q26</f>
        <v/>
      </c>
      <c r="P35" s="196">
        <f t="shared" ca="1" si="5"/>
        <v>0</v>
      </c>
    </row>
    <row r="36" spans="1:16" ht="15.75" customHeight="1">
      <c r="B36" s="462" t="str">
        <f t="shared" ca="1" si="0"/>
        <v/>
      </c>
      <c r="C36" s="463" t="str">
        <f t="shared" ca="1" si="1"/>
        <v/>
      </c>
      <c r="D36" s="388">
        <f t="shared" ca="1" si="2"/>
        <v>0</v>
      </c>
      <c r="E36" s="188">
        <f t="shared" ca="1" si="3"/>
        <v>0</v>
      </c>
      <c r="F36" s="183">
        <f ca="1">IF(AND(H36&gt;=startdag,H36&lt;=slutdag),IF(TODAY()&gt;=H36,Normtid!P27,0),0)</f>
        <v>0</v>
      </c>
      <c r="G36" s="403"/>
      <c r="H36" s="181">
        <f>Normtid!O27</f>
        <v>43973</v>
      </c>
      <c r="I36" s="182" t="str">
        <f t="shared" si="4"/>
        <v>Tor</v>
      </c>
      <c r="J36" s="184"/>
      <c r="K36" s="184"/>
      <c r="L36" s="184"/>
      <c r="M36" s="204"/>
      <c r="N36" s="379"/>
      <c r="O36" s="186" t="str">
        <f>Normtid!$Q27</f>
        <v/>
      </c>
      <c r="P36" s="188">
        <f t="shared" ca="1" si="5"/>
        <v>0</v>
      </c>
    </row>
    <row r="37" spans="1:16" ht="15.75" customHeight="1">
      <c r="B37" s="460" t="str">
        <f t="shared" ca="1" si="0"/>
        <v/>
      </c>
      <c r="C37" s="461" t="str">
        <f t="shared" ca="1" si="1"/>
        <v/>
      </c>
      <c r="D37" s="195">
        <f t="shared" ca="1" si="2"/>
        <v>0</v>
      </c>
      <c r="E37" s="196">
        <f t="shared" ca="1" si="3"/>
        <v>0</v>
      </c>
      <c r="F37" s="191">
        <f ca="1">IF(AND(H37&gt;=startdag,H37&lt;=slutdag),IF(TODAY()&gt;=H37,Normtid!P28,0),0)</f>
        <v>0</v>
      </c>
      <c r="G37" s="403"/>
      <c r="H37" s="189">
        <f>Normtid!O28</f>
        <v>43974</v>
      </c>
      <c r="I37" s="190" t="str">
        <f t="shared" si="4"/>
        <v>Fre</v>
      </c>
      <c r="J37" s="192"/>
      <c r="K37" s="192"/>
      <c r="L37" s="192"/>
      <c r="M37" s="202"/>
      <c r="N37" s="383"/>
      <c r="O37" s="194" t="str">
        <f>Normtid!$Q28</f>
        <v/>
      </c>
      <c r="P37" s="196">
        <f t="shared" ca="1" si="5"/>
        <v>0</v>
      </c>
    </row>
    <row r="38" spans="1:16" ht="15.75" customHeight="1">
      <c r="B38" s="462" t="str">
        <f t="shared" ca="1" si="0"/>
        <v/>
      </c>
      <c r="C38" s="463" t="str">
        <f t="shared" ca="1" si="1"/>
        <v/>
      </c>
      <c r="D38" s="388">
        <f t="shared" ca="1" si="2"/>
        <v>0</v>
      </c>
      <c r="E38" s="188">
        <f t="shared" ca="1" si="3"/>
        <v>0</v>
      </c>
      <c r="F38" s="183">
        <f ca="1">IF(AND(H38&gt;=startdag,H38&lt;=slutdag),IF(TODAY()&gt;=H38,Normtid!P29,0),0)</f>
        <v>0</v>
      </c>
      <c r="G38" s="403"/>
      <c r="H38" s="181">
        <f>Normtid!O29</f>
        <v>43975</v>
      </c>
      <c r="I38" s="182" t="str">
        <f t="shared" si="4"/>
        <v>Lör</v>
      </c>
      <c r="J38" s="184"/>
      <c r="K38" s="184"/>
      <c r="L38" s="184"/>
      <c r="M38" s="204"/>
      <c r="N38" s="379"/>
      <c r="O38" s="186" t="str">
        <f>Normtid!$Q29</f>
        <v/>
      </c>
      <c r="P38" s="188">
        <f t="shared" ca="1" si="5"/>
        <v>0</v>
      </c>
    </row>
    <row r="39" spans="1:16" ht="15.75" customHeight="1">
      <c r="B39" s="460" t="str">
        <f t="shared" ca="1" si="0"/>
        <v/>
      </c>
      <c r="C39" s="461" t="str">
        <f t="shared" ca="1" si="1"/>
        <v/>
      </c>
      <c r="D39" s="195">
        <f t="shared" ca="1" si="2"/>
        <v>0</v>
      </c>
      <c r="E39" s="196">
        <f t="shared" ca="1" si="3"/>
        <v>0</v>
      </c>
      <c r="F39" s="191">
        <f ca="1">IF(AND(H39&gt;=startdag,H39&lt;=slutdag),IF(TODAY()&gt;=H39,Normtid!P30,0),0)</f>
        <v>0</v>
      </c>
      <c r="G39" s="403"/>
      <c r="H39" s="189">
        <f>Normtid!O30</f>
        <v>43976</v>
      </c>
      <c r="I39" s="190" t="str">
        <f t="shared" si="4"/>
        <v>Sön</v>
      </c>
      <c r="J39" s="192"/>
      <c r="K39" s="192"/>
      <c r="L39" s="192"/>
      <c r="M39" s="202"/>
      <c r="N39" s="383"/>
      <c r="O39" s="194" t="str">
        <f>Normtid!$Q30</f>
        <v/>
      </c>
      <c r="P39" s="196">
        <f t="shared" ca="1" si="5"/>
        <v>0</v>
      </c>
    </row>
    <row r="40" spans="1:16" ht="15.75" customHeight="1">
      <c r="B40" s="462" t="str">
        <f t="shared" ca="1" si="0"/>
        <v/>
      </c>
      <c r="C40" s="463" t="str">
        <f t="shared" ca="1" si="1"/>
        <v/>
      </c>
      <c r="D40" s="388">
        <f t="shared" ca="1" si="2"/>
        <v>0</v>
      </c>
      <c r="E40" s="188">
        <f t="shared" ca="1" si="3"/>
        <v>0</v>
      </c>
      <c r="F40" s="183">
        <f ca="1">IF(AND(H40&gt;=startdag,H40&lt;=slutdag),IF(TODAY()&gt;=H40,Normtid!P31,0),0)</f>
        <v>0</v>
      </c>
      <c r="G40" s="403"/>
      <c r="H40" s="181">
        <f>Normtid!O31</f>
        <v>43977</v>
      </c>
      <c r="I40" s="182" t="str">
        <f t="shared" si="4"/>
        <v>Mån</v>
      </c>
      <c r="J40" s="184"/>
      <c r="K40" s="184"/>
      <c r="L40" s="184"/>
      <c r="M40" s="204"/>
      <c r="N40" s="379"/>
      <c r="O40" s="186" t="str">
        <f>Normtid!$Q31</f>
        <v/>
      </c>
      <c r="P40" s="188">
        <f t="shared" ca="1" si="5"/>
        <v>0</v>
      </c>
    </row>
    <row r="41" spans="1:16" ht="15.75" customHeight="1">
      <c r="B41" s="460" t="str">
        <f t="shared" ca="1" si="0"/>
        <v/>
      </c>
      <c r="C41" s="461" t="str">
        <f t="shared" ca="1" si="1"/>
        <v/>
      </c>
      <c r="D41" s="195">
        <f t="shared" ca="1" si="2"/>
        <v>0</v>
      </c>
      <c r="E41" s="196">
        <f t="shared" ca="1" si="3"/>
        <v>0</v>
      </c>
      <c r="F41" s="191">
        <f ca="1">IF(AND(H41&gt;=startdag,H41&lt;=slutdag),IF(TODAY()&gt;=H41,Normtid!P32,0),0)</f>
        <v>0</v>
      </c>
      <c r="G41" s="403"/>
      <c r="H41" s="189">
        <f>Normtid!O32</f>
        <v>43978</v>
      </c>
      <c r="I41" s="190" t="str">
        <f t="shared" si="4"/>
        <v>Tis</v>
      </c>
      <c r="J41" s="192"/>
      <c r="K41" s="192"/>
      <c r="L41" s="192"/>
      <c r="M41" s="202"/>
      <c r="N41" s="383"/>
      <c r="O41" s="194" t="str">
        <f>Normtid!$Q32</f>
        <v/>
      </c>
      <c r="P41" s="196">
        <f t="shared" ca="1" si="5"/>
        <v>0</v>
      </c>
    </row>
    <row r="42" spans="1:16" ht="15.75" customHeight="1">
      <c r="B42" s="462" t="str">
        <f t="shared" ca="1" si="0"/>
        <v/>
      </c>
      <c r="C42" s="463" t="str">
        <f t="shared" ca="1" si="1"/>
        <v/>
      </c>
      <c r="D42" s="388">
        <f t="shared" ca="1" si="2"/>
        <v>0</v>
      </c>
      <c r="E42" s="188">
        <f t="shared" ca="1" si="3"/>
        <v>0</v>
      </c>
      <c r="F42" s="183">
        <f ca="1">IF(AND(H42&gt;=startdag,H42&lt;=slutdag),IF(TODAY()&gt;=H42,Normtid!P33,0),0)</f>
        <v>0</v>
      </c>
      <c r="G42" s="403"/>
      <c r="H42" s="181">
        <f>Normtid!O33</f>
        <v>43979</v>
      </c>
      <c r="I42" s="182" t="str">
        <f t="shared" si="4"/>
        <v>Ons</v>
      </c>
      <c r="J42" s="184"/>
      <c r="K42" s="184"/>
      <c r="L42" s="184"/>
      <c r="M42" s="204"/>
      <c r="N42" s="379"/>
      <c r="O42" s="186" t="str">
        <f>Normtid!$Q33</f>
        <v/>
      </c>
      <c r="P42" s="188">
        <f t="shared" ca="1" si="5"/>
        <v>0</v>
      </c>
    </row>
    <row r="43" spans="1:16" ht="15.75" customHeight="1">
      <c r="B43" s="460" t="str">
        <f t="shared" ca="1" si="0"/>
        <v/>
      </c>
      <c r="C43" s="461" t="str">
        <f t="shared" ca="1" si="1"/>
        <v/>
      </c>
      <c r="D43" s="195">
        <f t="shared" ca="1" si="2"/>
        <v>0</v>
      </c>
      <c r="E43" s="196">
        <f t="shared" ca="1" si="3"/>
        <v>0</v>
      </c>
      <c r="F43" s="191">
        <f ca="1">IF(AND(H43&gt;=startdag,H43&lt;=slutdag),IF(TODAY()&gt;=H43,Normtid!P34,0),0)</f>
        <v>0</v>
      </c>
      <c r="G43" s="403"/>
      <c r="H43" s="189">
        <f>Normtid!O34</f>
        <v>43980</v>
      </c>
      <c r="I43" s="190" t="str">
        <f t="shared" si="4"/>
        <v>Tor</v>
      </c>
      <c r="J43" s="192"/>
      <c r="K43" s="192"/>
      <c r="L43" s="192"/>
      <c r="M43" s="202"/>
      <c r="N43" s="383"/>
      <c r="O43" s="194" t="str">
        <f>Normtid!$Q34</f>
        <v/>
      </c>
      <c r="P43" s="196">
        <f t="shared" ca="1" si="5"/>
        <v>0</v>
      </c>
    </row>
    <row r="44" spans="1:16" ht="15.75" customHeight="1">
      <c r="B44" s="464" t="str">
        <f t="shared" ca="1" si="0"/>
        <v/>
      </c>
      <c r="C44" s="465" t="str">
        <f t="shared" ca="1" si="1"/>
        <v/>
      </c>
      <c r="D44" s="389">
        <f t="shared" ca="1" si="2"/>
        <v>0</v>
      </c>
      <c r="E44" s="91">
        <f t="shared" ca="1" si="3"/>
        <v>0</v>
      </c>
      <c r="F44" s="220">
        <f ca="1">IF(AND(H44&gt;=startdag,H44&lt;=slutdag),IF(TODAY()&gt;=H44,Normtid!P35,0),0)</f>
        <v>0</v>
      </c>
      <c r="G44" s="403"/>
      <c r="H44" s="45">
        <f>Normtid!O35</f>
        <v>43981</v>
      </c>
      <c r="I44" s="46" t="str">
        <f t="shared" si="4"/>
        <v>Fre</v>
      </c>
      <c r="J44" s="48"/>
      <c r="K44" s="48"/>
      <c r="L44" s="48"/>
      <c r="M44" s="49"/>
      <c r="N44" s="382"/>
      <c r="O44" s="102" t="str">
        <f>Normtid!$Q35</f>
        <v/>
      </c>
      <c r="P44" s="91">
        <f t="shared" ca="1" si="5"/>
        <v>0</v>
      </c>
    </row>
    <row r="45" spans="1:16" ht="15.75" customHeight="1" thickBot="1">
      <c r="A45" s="17"/>
      <c r="B45" s="17"/>
      <c r="C45" s="336"/>
      <c r="D45" s="80"/>
      <c r="E45" s="80"/>
      <c r="F45" s="80"/>
      <c r="G45" s="80"/>
      <c r="H45" s="80"/>
      <c r="I45" s="80"/>
      <c r="J45" s="81"/>
      <c r="K45" s="80"/>
      <c r="L45" s="80"/>
      <c r="M45" s="80"/>
      <c r="N45" s="80"/>
      <c r="O45" s="80"/>
      <c r="P45" s="80"/>
    </row>
    <row r="46" spans="1:16" ht="12.9">
      <c r="A46" s="548" t="str">
        <f>Felinfo!H10</f>
        <v>Flex 99:03C • huk-51 • ©</v>
      </c>
      <c r="C46" s="314"/>
      <c r="D46" s="64"/>
      <c r="E46" s="64"/>
      <c r="F46" s="17"/>
      <c r="G46" s="17"/>
      <c r="H46" s="51" t="str">
        <f ca="1">"Summa arbetad tid"&amp;IF(MONTH(H14)=MONTH(TODAY())," t o m ""i dag""","")</f>
        <v>Summa arbetad tid</v>
      </c>
      <c r="I46" s="52"/>
      <c r="J46" s="53"/>
      <c r="K46" s="53"/>
      <c r="L46" s="53"/>
      <c r="M46" s="53"/>
      <c r="N46" s="54"/>
      <c r="O46" s="52"/>
      <c r="P46" s="197">
        <f ca="1">IF(TODAY()&gt;=H14,SUMIF(P14:P44,"&gt;0"),0)</f>
        <v>0</v>
      </c>
    </row>
    <row r="47" spans="1:16" ht="14.25" customHeight="1">
      <c r="A47" s="555"/>
      <c r="C47" s="314"/>
      <c r="D47" s="60"/>
      <c r="E47" s="60"/>
      <c r="F47" s="17"/>
      <c r="G47" s="17"/>
      <c r="H47" s="56" t="str">
        <f ca="1">IF(MONTH(H14)=MONTH(TODAY()),"Månadens normalarbetstid t o m idag","Normalarbetstid för månaden")&amp;IF(AND(MONTH(TODAY())&gt;=MONTH(H14),N8&lt;&gt;1)," (normtid "&amp;SUM(F14:F44)&amp;" tim * tjänsteomfattning "&amp;TEXT(N8*1000,"## %)"),"")</f>
        <v>Normalarbetstid för månaden</v>
      </c>
      <c r="I47" s="17"/>
      <c r="J47" s="57"/>
      <c r="K47" s="57"/>
      <c r="L47" s="57"/>
      <c r="M47" s="57"/>
      <c r="N47" s="58"/>
      <c r="O47" s="59"/>
      <c r="P47" s="198">
        <f ca="1">IF(AND(TODAY()&gt;=H14,MONTH(H14)&gt;=MONTH(Grunddata!C22)),SUM(F14:F44)*N8,0)</f>
        <v>0</v>
      </c>
    </row>
    <row r="48" spans="1:16" ht="15" customHeight="1">
      <c r="A48" s="555"/>
      <c r="C48" s="314"/>
      <c r="D48" s="64"/>
      <c r="E48" s="64"/>
      <c r="F48" s="17"/>
      <c r="G48" s="17"/>
      <c r="H48" s="56" t="s">
        <v>35</v>
      </c>
      <c r="I48" s="17"/>
      <c r="J48" s="57"/>
      <c r="K48" s="61"/>
      <c r="L48" s="62"/>
      <c r="M48" s="63"/>
      <c r="N48" s="63"/>
      <c r="O48" s="63"/>
      <c r="P48" s="308">
        <f ca="1">IF(TODAY()&gt;=H14,IF(AND(MONTH(H14)=MONTH(Grunddata!C22),flyttsaldo&lt;&gt;0),flyttsaldo,APRIL!P50),0)</f>
        <v>0</v>
      </c>
    </row>
    <row r="49" spans="1:16" ht="14.25" customHeight="1">
      <c r="A49" s="555"/>
      <c r="C49" s="314"/>
      <c r="D49" s="64"/>
      <c r="E49" s="64"/>
      <c r="F49" s="17"/>
      <c r="G49" s="17"/>
      <c r="H49" s="56" t="str">
        <f>IF(tjänst=1,"Över","Mer")&amp;"tidstimmar (ersättning utbetalad med "&amp;TEXT(H14,"MMMM")&amp;"lönen)"</f>
        <v>Övertidstimmar (ersättning utbetalad med majlönen)</v>
      </c>
      <c r="I49" s="17"/>
      <c r="J49" s="57"/>
      <c r="K49" s="61"/>
      <c r="L49" s="62"/>
      <c r="M49" s="63"/>
      <c r="N49" s="63"/>
      <c r="O49" s="63"/>
      <c r="P49" s="372"/>
    </row>
    <row r="50" spans="1:16" ht="14.25" customHeight="1">
      <c r="A50" s="555"/>
      <c r="C50" s="314"/>
      <c r="D50" s="64"/>
      <c r="E50" s="64"/>
      <c r="F50" s="17"/>
      <c r="G50" s="17"/>
      <c r="H50" s="65" t="str">
        <f ca="1">IF(MONTH(H14)=MONTH(TODAY()),"Dagens saldo +/-","Nytt saldo +/-")</f>
        <v>Nytt saldo +/-</v>
      </c>
      <c r="I50" s="66"/>
      <c r="J50" s="67"/>
      <c r="K50" s="68"/>
      <c r="L50" s="69"/>
      <c r="M50" s="69"/>
      <c r="N50" s="69"/>
      <c r="O50" s="69"/>
      <c r="P50" s="469">
        <f ca="1">IF(TODAY()&gt;=H14,P46-P47+P48-ABS(P49),0)</f>
        <v>0</v>
      </c>
    </row>
    <row r="51" spans="1:16" ht="14.25" customHeight="1" thickBot="1">
      <c r="A51" s="555"/>
      <c r="C51" s="314"/>
      <c r="D51" s="64"/>
      <c r="E51" s="64"/>
      <c r="F51" s="17"/>
      <c r="G51" s="17"/>
      <c r="H51" s="71" t="s">
        <v>29</v>
      </c>
      <c r="I51" s="72"/>
      <c r="J51" s="73"/>
      <c r="K51" s="74">
        <f ca="1">IF(L51&gt;0,"månadens: ",)</f>
        <v>0</v>
      </c>
      <c r="L51" s="75">
        <f ca="1">MOD(SUM(D14:D44),100)</f>
        <v>0</v>
      </c>
      <c r="M51" s="76">
        <f ca="1">IF(N51&gt;0,"årets: ",)</f>
        <v>0</v>
      </c>
      <c r="N51" s="75">
        <f ca="1">'2024'!K18</f>
        <v>0</v>
      </c>
      <c r="O51" s="77" t="str">
        <f ca="1">"  kvarstående:  "&amp;'2024'!$L18</f>
        <v xml:space="preserve">  kvarstående:  0</v>
      </c>
      <c r="P51" s="79"/>
    </row>
    <row r="52" spans="1:16" ht="12" customHeight="1">
      <c r="A52" s="555"/>
      <c r="C52" s="314"/>
      <c r="F52" s="466"/>
      <c r="G52" s="466"/>
      <c r="H52" s="427" t="s">
        <v>75</v>
      </c>
      <c r="I52" s="428"/>
      <c r="J52" s="429"/>
      <c r="K52" s="430" t="s">
        <v>27</v>
      </c>
      <c r="L52" s="431"/>
      <c r="M52" s="431"/>
      <c r="N52" s="432"/>
      <c r="O52" s="433"/>
      <c r="P52" s="434"/>
    </row>
    <row r="53" spans="1:16" ht="27.75" customHeight="1" thickBot="1">
      <c r="A53" s="555"/>
      <c r="F53" s="467"/>
      <c r="G53" s="467"/>
      <c r="H53" s="561"/>
      <c r="I53" s="566"/>
      <c r="J53" s="567"/>
      <c r="K53" s="7"/>
      <c r="L53" s="7"/>
      <c r="M53" s="7"/>
      <c r="N53" s="9"/>
      <c r="O53" s="3"/>
      <c r="P53" s="4"/>
    </row>
    <row r="54" spans="1:16" ht="12" customHeight="1" thickBot="1">
      <c r="A54" s="360"/>
    </row>
    <row r="55" spans="1:16" ht="12" customHeight="1">
      <c r="A55" s="360"/>
      <c r="F55" s="125"/>
      <c r="G55" s="125"/>
      <c r="H55" s="5" t="s">
        <v>19</v>
      </c>
      <c r="I55" s="5"/>
      <c r="J55" s="427" t="s">
        <v>75</v>
      </c>
      <c r="K55" s="429"/>
      <c r="L55" s="430" t="s">
        <v>26</v>
      </c>
      <c r="M55" s="431"/>
      <c r="N55" s="432"/>
      <c r="O55" s="433"/>
      <c r="P55" s="435"/>
    </row>
    <row r="56" spans="1:16" ht="27.75" customHeight="1" thickBot="1">
      <c r="A56" s="360"/>
      <c r="F56" s="125"/>
      <c r="G56" s="125"/>
      <c r="J56" s="11"/>
      <c r="K56" s="10"/>
      <c r="L56" s="7"/>
      <c r="M56" s="7"/>
      <c r="N56" s="9"/>
      <c r="O56" s="3"/>
      <c r="P56" s="4"/>
    </row>
    <row r="59" spans="1:16">
      <c r="C59" s="318"/>
      <c r="D59" s="64"/>
      <c r="E59" s="64"/>
      <c r="F59" s="17"/>
      <c r="G59" s="17"/>
    </row>
    <row r="60" spans="1:16">
      <c r="C60" s="318"/>
      <c r="D60" s="64"/>
      <c r="E60" s="64"/>
      <c r="F60" s="17"/>
      <c r="G60" s="17"/>
    </row>
    <row r="61" spans="1:16">
      <c r="C61" s="318"/>
      <c r="D61" s="64"/>
      <c r="E61" s="64"/>
      <c r="F61" s="17"/>
      <c r="G61" s="17"/>
    </row>
    <row r="62" spans="1:16">
      <c r="C62" s="318"/>
      <c r="D62" s="64"/>
      <c r="E62" s="64"/>
      <c r="F62" s="17"/>
      <c r="G62" s="17"/>
    </row>
  </sheetData>
  <sheetProtection password="C38D" sheet="1" objects="1" scenarios="1"/>
  <mergeCells count="4">
    <mergeCell ref="A46:A53"/>
    <mergeCell ref="B10:C10"/>
    <mergeCell ref="J13:O13"/>
    <mergeCell ref="H53:J53"/>
  </mergeCells>
  <phoneticPr fontId="0" type="noConversion"/>
  <conditionalFormatting sqref="A14">
    <cfRule type="cellIs" dxfId="15" priority="1" stopIfTrue="1" operator="greaterThan">
      <formula>0</formula>
    </cfRule>
  </conditionalFormatting>
  <conditionalFormatting sqref="J45 L48:L49">
    <cfRule type="cellIs" dxfId="14" priority="2" stopIfTrue="1" operator="greaterThan">
      <formula>0</formula>
    </cfRule>
  </conditionalFormatting>
  <dataValidations count="1">
    <dataValidation allowBlank="1" showInputMessage="1" showErrorMessage="1" error="Timme och minut måste skiljas med_x000a_- kolon på pc_x000a_- punkt på Mac" sqref="L5 J14:M44" xr:uid="{00000000-0002-0000-0A00-000000000000}"/>
  </dataValidations>
  <printOptions verticalCentered="1"/>
  <pageMargins left="0.6692913385826772" right="0.47244094488188981" top="0.78740157480314965" bottom="0.62992125984251968" header="0.51181102362204722" footer="0.51181102362204722"/>
  <pageSetup paperSize="9" scale="87" orientation="portrait" blackAndWhite="1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Blad4227121">
    <pageSetUpPr fitToPage="1"/>
  </sheetPr>
  <dimension ref="A1:P62"/>
  <sheetViews>
    <sheetView showGridLines="0" showRowColHeaders="0" showZeros="0" topLeftCell="A9" zoomScale="80" workbookViewId="0">
      <pane ySplit="5" topLeftCell="A14" activePane="bottomLeft" state="frozenSplit"/>
      <selection activeCell="P9" sqref="P1:P65536"/>
      <selection pane="bottomLeft" activeCell="J16" sqref="J16"/>
    </sheetView>
  </sheetViews>
  <sheetFormatPr defaultColWidth="11.3828125" defaultRowHeight="12.45"/>
  <cols>
    <col min="1" max="1" width="2.84375" style="284" customWidth="1"/>
    <col min="2" max="2" width="8.84375" style="318" hidden="1" customWidth="1"/>
    <col min="3" max="3" width="4.53515625" style="320" hidden="1" customWidth="1"/>
    <col min="4" max="4" width="11.3828125" style="354" hidden="1" customWidth="1"/>
    <col min="5" max="5" width="8.3828125" style="354" hidden="1" customWidth="1"/>
    <col min="6" max="6" width="7.15234375" style="30" hidden="1" customWidth="1"/>
    <col min="7" max="7" width="1.53515625" style="30" hidden="1" customWidth="1"/>
    <col min="8" max="8" width="4.3828125" style="1" customWidth="1"/>
    <col min="9" max="9" width="7.53515625" style="1" customWidth="1"/>
    <col min="10" max="13" width="8.15234375" style="6" customWidth="1"/>
    <col min="14" max="14" width="11.07421875" style="8" customWidth="1"/>
    <col min="15" max="15" width="36.15234375" style="1" customWidth="1"/>
    <col min="16" max="16" width="11.15234375" style="1" customWidth="1"/>
    <col min="17" max="16384" width="11.3828125" style="1"/>
  </cols>
  <sheetData>
    <row r="1" spans="1:16" s="15" customFormat="1" ht="16" customHeight="1">
      <c r="A1" s="21" t="s">
        <v>30</v>
      </c>
      <c r="B1" s="315"/>
      <c r="C1" s="315"/>
      <c r="D1" s="272"/>
      <c r="E1" s="272"/>
      <c r="F1" s="272"/>
      <c r="G1" s="272"/>
      <c r="P1" s="27" t="s">
        <v>31</v>
      </c>
    </row>
    <row r="2" spans="1:16" s="262" customFormat="1" ht="14.25" customHeight="1">
      <c r="A2" s="145">
        <f>inst</f>
        <v>0</v>
      </c>
      <c r="B2" s="317"/>
      <c r="C2" s="317"/>
      <c r="D2" s="145"/>
      <c r="E2" s="145"/>
      <c r="F2" s="145"/>
      <c r="G2" s="145"/>
    </row>
    <row r="3" spans="1:16" s="16" customFormat="1" ht="15.75" customHeight="1">
      <c r="A3" s="17"/>
      <c r="B3" s="318"/>
      <c r="C3" s="318"/>
      <c r="D3" s="17"/>
      <c r="E3" s="17"/>
      <c r="F3" s="17"/>
      <c r="G3" s="17"/>
      <c r="L3" s="29"/>
    </row>
    <row r="4" spans="1:16" ht="15.75" customHeight="1">
      <c r="A4" s="17"/>
      <c r="C4" s="318"/>
      <c r="D4" s="176"/>
      <c r="E4" s="176"/>
      <c r="F4" s="17"/>
      <c r="G4" s="17"/>
      <c r="H4" s="30"/>
      <c r="I4" s="30"/>
      <c r="J4" s="30"/>
      <c r="K4" s="30"/>
      <c r="L4" s="30"/>
      <c r="M4" s="30"/>
      <c r="N4" s="30"/>
      <c r="O4" s="31" t="s">
        <v>34</v>
      </c>
      <c r="P4" s="32">
        <f>H14</f>
        <v>43982</v>
      </c>
    </row>
    <row r="5" spans="1:16" ht="15.75" customHeight="1">
      <c r="A5" s="17"/>
      <c r="C5" s="318"/>
      <c r="D5" s="176"/>
      <c r="E5" s="176"/>
      <c r="F5" s="17"/>
      <c r="G5" s="17"/>
      <c r="H5" s="30"/>
      <c r="I5" s="30"/>
      <c r="J5" s="30"/>
      <c r="K5" s="30"/>
      <c r="L5" s="17"/>
      <c r="M5" s="30"/>
      <c r="N5" s="30"/>
      <c r="O5" s="31" t="s">
        <v>33</v>
      </c>
      <c r="P5" s="33">
        <f>H14</f>
        <v>43982</v>
      </c>
    </row>
    <row r="6" spans="1:16" ht="15.75" customHeight="1">
      <c r="A6" s="17"/>
      <c r="B6" s="17"/>
      <c r="C6" s="318"/>
      <c r="D6" s="17"/>
      <c r="E6" s="17"/>
      <c r="F6" s="17"/>
      <c r="G6" s="17"/>
      <c r="H6" s="30"/>
      <c r="I6" s="30"/>
      <c r="J6" s="30"/>
      <c r="K6" s="30"/>
      <c r="L6" s="30"/>
      <c r="M6" s="30"/>
      <c r="N6" s="30"/>
      <c r="O6" s="30"/>
      <c r="P6" s="30"/>
    </row>
    <row r="7" spans="1:16" ht="12.75" customHeight="1" thickBot="1">
      <c r="A7" s="269"/>
      <c r="H7" s="422" t="s">
        <v>73</v>
      </c>
      <c r="I7" s="423"/>
      <c r="J7" s="423"/>
      <c r="K7" s="423"/>
      <c r="L7" s="423"/>
      <c r="M7" s="423"/>
      <c r="N7" s="422" t="s">
        <v>74</v>
      </c>
      <c r="O7" s="422" t="s">
        <v>72</v>
      </c>
      <c r="P7" s="424"/>
    </row>
    <row r="8" spans="1:16" s="2" customFormat="1" ht="17.25" customHeight="1" thickBot="1">
      <c r="A8" s="269"/>
      <c r="B8" s="318"/>
      <c r="C8" s="321"/>
      <c r="D8" s="453" t="s">
        <v>120</v>
      </c>
      <c r="E8" s="392">
        <f ca="1">INT((LEN(fel_1)+LEN(fel_2)+LEN(fel_3))/60)+COUNTIF(B14:C38,"1")</f>
        <v>3</v>
      </c>
      <c r="F8" s="323"/>
      <c r="G8" s="323"/>
      <c r="H8" s="39" t="str">
        <f>IF(namn&lt;&gt;"","  "&amp;namn,"")</f>
        <v/>
      </c>
      <c r="I8" s="40"/>
      <c r="J8" s="41"/>
      <c r="K8" s="41"/>
      <c r="L8" s="41"/>
      <c r="M8" s="41"/>
      <c r="N8" s="180">
        <f>tjänst</f>
        <v>1</v>
      </c>
      <c r="O8" s="42" t="str">
        <f>IF(p_nr&lt;&gt;"","  "&amp;p_nr,"")</f>
        <v/>
      </c>
      <c r="P8" s="287"/>
    </row>
    <row r="9" spans="1:16" s="2" customFormat="1" ht="3" customHeight="1">
      <c r="A9" s="269"/>
      <c r="B9" s="454"/>
      <c r="C9" s="455"/>
      <c r="D9" s="436"/>
      <c r="E9" s="436"/>
      <c r="F9" s="436"/>
      <c r="G9" s="402"/>
      <c r="H9" s="415"/>
      <c r="I9" s="415"/>
      <c r="J9" s="415"/>
      <c r="K9" s="415"/>
      <c r="L9" s="415"/>
      <c r="M9" s="415"/>
      <c r="N9" s="416"/>
      <c r="O9" s="417"/>
      <c r="P9" s="418"/>
    </row>
    <row r="10" spans="1:16" s="14" customFormat="1" ht="12.75" customHeight="1">
      <c r="A10" s="324"/>
      <c r="B10" s="559" t="s">
        <v>135</v>
      </c>
      <c r="C10" s="560"/>
      <c r="D10" s="437" t="s">
        <v>119</v>
      </c>
      <c r="E10" s="437" t="s">
        <v>121</v>
      </c>
      <c r="F10" s="438" t="s">
        <v>116</v>
      </c>
      <c r="G10" s="390"/>
      <c r="H10" s="409" t="s">
        <v>88</v>
      </c>
      <c r="I10" s="409" t="s">
        <v>39</v>
      </c>
      <c r="J10" s="410" t="s">
        <v>14</v>
      </c>
      <c r="K10" s="410" t="s">
        <v>15</v>
      </c>
      <c r="L10" s="410" t="s">
        <v>15</v>
      </c>
      <c r="M10" s="410" t="s">
        <v>14</v>
      </c>
      <c r="N10" s="411" t="s">
        <v>145</v>
      </c>
      <c r="O10" s="409" t="s">
        <v>76</v>
      </c>
      <c r="P10" s="412" t="s">
        <v>77</v>
      </c>
    </row>
    <row r="11" spans="1:16" s="14" customFormat="1" ht="12.75" customHeight="1">
      <c r="A11" s="324"/>
      <c r="B11" s="439" t="s">
        <v>118</v>
      </c>
      <c r="C11" s="456" t="s">
        <v>101</v>
      </c>
      <c r="D11" s="437" t="s">
        <v>118</v>
      </c>
      <c r="E11" s="437" t="s">
        <v>122</v>
      </c>
      <c r="F11" s="439" t="s">
        <v>117</v>
      </c>
      <c r="G11" s="391"/>
      <c r="H11" s="409" t="s">
        <v>9</v>
      </c>
      <c r="I11" s="409" t="s">
        <v>10</v>
      </c>
      <c r="J11" s="413" t="s">
        <v>16</v>
      </c>
      <c r="K11" s="414" t="s">
        <v>16</v>
      </c>
      <c r="L11" s="414" t="s">
        <v>17</v>
      </c>
      <c r="M11" s="410" t="s">
        <v>18</v>
      </c>
      <c r="N11" s="419" t="str">
        <f ca="1">IF(INFO("system")="mac","tim.minut","tim:minut")</f>
        <v>tim:minut</v>
      </c>
      <c r="O11" s="420" t="s">
        <v>164</v>
      </c>
      <c r="P11" s="421" t="s">
        <v>161</v>
      </c>
    </row>
    <row r="12" spans="1:16" s="2" customFormat="1" ht="3" customHeight="1">
      <c r="A12" s="269"/>
      <c r="B12" s="439"/>
      <c r="C12" s="456"/>
      <c r="D12" s="439"/>
      <c r="E12" s="439"/>
      <c r="F12" s="439"/>
      <c r="G12" s="402"/>
      <c r="H12" s="409"/>
      <c r="I12" s="409"/>
      <c r="J12" s="409"/>
      <c r="K12" s="409"/>
      <c r="L12" s="409"/>
      <c r="M12" s="409"/>
      <c r="N12" s="425"/>
      <c r="O12" s="412"/>
      <c r="P12" s="426"/>
    </row>
    <row r="13" spans="1:16" s="172" customFormat="1" ht="18" customHeight="1" thickBot="1">
      <c r="A13" s="329"/>
      <c r="B13" s="449" t="s">
        <v>10</v>
      </c>
      <c r="C13" s="457" t="s">
        <v>102</v>
      </c>
      <c r="D13" s="448" t="s">
        <v>22</v>
      </c>
      <c r="E13" s="448" t="s">
        <v>123</v>
      </c>
      <c r="F13" s="449" t="s">
        <v>142</v>
      </c>
      <c r="G13" s="401"/>
      <c r="H13" s="167" t="str">
        <f>IF(LEN(J13)&gt;0,"  INFO:","")</f>
        <v xml:space="preserve">  INFO:</v>
      </c>
      <c r="I13" s="168"/>
      <c r="J13" s="544" t="str">
        <f>IF(LEN(fel_1)&gt;0,fel_1,IF(LEN(fel_2)&gt;0,fel_2,IF(LEN(fel_3)&gt;0,fel_3,IF(LEN(fel_4)&gt;0,fel_4,IF(SUMIF(B14:B44,"&gt;0"),semfel_1&amp;TEXT(VLOOKUP(1,B14:H44,7),"D MMM")&amp;semfel_2,IF(COUNTIF(C14:C44,"1"),ändr_fel,""))))))</f>
        <v>Du har glömt ange namn och/eller personnr på fliken "Grunddata"!</v>
      </c>
      <c r="K13" s="545"/>
      <c r="L13" s="545"/>
      <c r="M13" s="545"/>
      <c r="N13" s="545"/>
      <c r="O13" s="545"/>
      <c r="P13" s="171" t="str">
        <f ca="1">IF(E8&gt;1,"Tot. "&amp;E8&amp;" fel","")</f>
        <v>Tot. 3 fel</v>
      </c>
    </row>
    <row r="14" spans="1:16" ht="17.25" customHeight="1">
      <c r="A14" s="334"/>
      <c r="B14" s="479" t="str">
        <f t="shared" ref="B14:B44" ca="1" si="0">IF(AND(F14="ej sem",OR(LEFT(O14,3)="sem",LEFT(O14,4)="sjuk")),1,"")</f>
        <v/>
      </c>
      <c r="C14" s="480" t="str">
        <f t="shared" ref="C14:C44" ca="1" si="1">IF(NOT(ISERROR(E14)),"",IF(N14&lt;&gt;"",IF(ERROR.TYPE(E14)=3,1,),))</f>
        <v/>
      </c>
      <c r="D14" s="388">
        <f t="shared" ref="D14:D44" ca="1" si="2">IF(TODAY()&gt;=H14,IF(AND(LEFT(O14,3)="SEM",F14&lt;&gt;"ej sem"),1,IF(AND(LEFT(O14,4)="sjuk",F14&lt;&gt;"ej sem"),100,0)),0)</f>
        <v>0</v>
      </c>
      <c r="E14" s="381">
        <f t="shared" ref="E14:E44" ca="1" si="3">IF(AND(TODAY()&gt;=H14,F14&gt;0,OR(J14&gt;0,L14&gt;0,N14&lt;&gt;0)),((M14-L14+K14-J14)+IF(ISBLANK(N14),0,IF(LEFT(N14,1)="-",-TIMEVALUE(RIGHT(N14,LEN(N14)-1)),IF(LEFT(N14,1)="+",TIMEVALUE(RIGHT(N14,LEN(N14)-1)),TIMEVALUE(N14)))))*24,IF(OR(D14=1,D14=100),F14*tjänst,0))</f>
        <v>0</v>
      </c>
      <c r="F14" s="183">
        <f ca="1">IF(AND(H14&gt;=startdag,H14&lt;=slutdag),IF(TODAY()&gt;=H14,Normtid!S5,0),0)</f>
        <v>0</v>
      </c>
      <c r="G14" s="403"/>
      <c r="H14" s="375">
        <f>Normtid!R5</f>
        <v>43982</v>
      </c>
      <c r="I14" s="376" t="str">
        <f t="shared" ref="I14:I43" si="4">PROPER(TEXT(WEEKDAY(H14)+1,"DDD"))</f>
        <v>Lör</v>
      </c>
      <c r="J14" s="377"/>
      <c r="K14" s="377"/>
      <c r="L14" s="377"/>
      <c r="M14" s="378"/>
      <c r="N14" s="379"/>
      <c r="O14" s="385" t="str">
        <f>Normtid!$T5</f>
        <v/>
      </c>
      <c r="P14" s="381">
        <f t="shared" ref="P14:P44" ca="1" si="5">IF(E14&lt;&gt;0,E14,0)</f>
        <v>0</v>
      </c>
    </row>
    <row r="15" spans="1:16" ht="15.75" customHeight="1">
      <c r="B15" s="460" t="str">
        <f t="shared" ca="1" si="0"/>
        <v/>
      </c>
      <c r="C15" s="461" t="str">
        <f t="shared" ca="1" si="1"/>
        <v/>
      </c>
      <c r="D15" s="195">
        <f t="shared" ca="1" si="2"/>
        <v>0</v>
      </c>
      <c r="E15" s="196">
        <f t="shared" ca="1" si="3"/>
        <v>0</v>
      </c>
      <c r="F15" s="191">
        <f ca="1">IF(AND(H15&gt;=startdag,H15&lt;=slutdag),IF(TODAY()&gt;=H15,Normtid!S6,0),0)</f>
        <v>0</v>
      </c>
      <c r="G15" s="403"/>
      <c r="H15" s="189">
        <f>Normtid!R6</f>
        <v>43983</v>
      </c>
      <c r="I15" s="190" t="str">
        <f t="shared" si="4"/>
        <v>Sön</v>
      </c>
      <c r="J15" s="192"/>
      <c r="K15" s="192"/>
      <c r="L15" s="192"/>
      <c r="M15" s="202"/>
      <c r="N15" s="383"/>
      <c r="O15" s="203" t="str">
        <f>Normtid!$T6</f>
        <v/>
      </c>
      <c r="P15" s="196">
        <f t="shared" ca="1" si="5"/>
        <v>0</v>
      </c>
    </row>
    <row r="16" spans="1:16" ht="15.75" customHeight="1">
      <c r="B16" s="462" t="str">
        <f t="shared" ca="1" si="0"/>
        <v/>
      </c>
      <c r="C16" s="463" t="str">
        <f t="shared" ca="1" si="1"/>
        <v/>
      </c>
      <c r="D16" s="388">
        <f t="shared" ca="1" si="2"/>
        <v>0</v>
      </c>
      <c r="E16" s="188">
        <f t="shared" ca="1" si="3"/>
        <v>0</v>
      </c>
      <c r="F16" s="183">
        <f ca="1">IF(AND(H16&gt;=startdag,H16&lt;=slutdag),IF(TODAY()&gt;=H16,Normtid!S7,0),0)</f>
        <v>0</v>
      </c>
      <c r="G16" s="403"/>
      <c r="H16" s="181">
        <f>Normtid!R7</f>
        <v>43984</v>
      </c>
      <c r="I16" s="182" t="str">
        <f t="shared" si="4"/>
        <v>Mån</v>
      </c>
      <c r="J16" s="184"/>
      <c r="K16" s="184"/>
      <c r="L16" s="184"/>
      <c r="M16" s="204"/>
      <c r="N16" s="379"/>
      <c r="O16" s="205" t="str">
        <f>Normtid!$T7</f>
        <v/>
      </c>
      <c r="P16" s="188">
        <f t="shared" ca="1" si="5"/>
        <v>0</v>
      </c>
    </row>
    <row r="17" spans="2:16" ht="15.75" customHeight="1">
      <c r="B17" s="460" t="str">
        <f t="shared" ca="1" si="0"/>
        <v/>
      </c>
      <c r="C17" s="461" t="str">
        <f t="shared" ca="1" si="1"/>
        <v/>
      </c>
      <c r="D17" s="195">
        <f t="shared" ca="1" si="2"/>
        <v>0</v>
      </c>
      <c r="E17" s="196">
        <f t="shared" ca="1" si="3"/>
        <v>0</v>
      </c>
      <c r="F17" s="191">
        <f ca="1">IF(AND(H17&gt;=startdag,H17&lt;=slutdag),IF(TODAY()&gt;=H17,Normtid!S8,0),0)</f>
        <v>0</v>
      </c>
      <c r="G17" s="403"/>
      <c r="H17" s="189">
        <f>Normtid!R8</f>
        <v>43985</v>
      </c>
      <c r="I17" s="190" t="str">
        <f t="shared" si="4"/>
        <v>Tis</v>
      </c>
      <c r="J17" s="192"/>
      <c r="K17" s="192"/>
      <c r="L17" s="192"/>
      <c r="M17" s="202"/>
      <c r="N17" s="383"/>
      <c r="O17" s="203" t="str">
        <f>Normtid!$T8</f>
        <v/>
      </c>
      <c r="P17" s="196">
        <f t="shared" ca="1" si="5"/>
        <v>0</v>
      </c>
    </row>
    <row r="18" spans="2:16" ht="15.75" customHeight="1">
      <c r="B18" s="462" t="str">
        <f t="shared" ca="1" si="0"/>
        <v/>
      </c>
      <c r="C18" s="463" t="str">
        <f t="shared" ca="1" si="1"/>
        <v/>
      </c>
      <c r="D18" s="388">
        <f t="shared" ca="1" si="2"/>
        <v>0</v>
      </c>
      <c r="E18" s="188">
        <f t="shared" ca="1" si="3"/>
        <v>0</v>
      </c>
      <c r="F18" s="183">
        <f ca="1">IF(AND(H18&gt;=startdag,H18&lt;=slutdag),IF(TODAY()&gt;=H18,Normtid!S9,0),0)</f>
        <v>0</v>
      </c>
      <c r="G18" s="403"/>
      <c r="H18" s="181">
        <f>Normtid!R9</f>
        <v>43986</v>
      </c>
      <c r="I18" s="182" t="str">
        <f t="shared" si="4"/>
        <v>Ons</v>
      </c>
      <c r="J18" s="184"/>
      <c r="K18" s="184"/>
      <c r="L18" s="184"/>
      <c r="M18" s="204"/>
      <c r="N18" s="379"/>
      <c r="O18" s="205" t="str">
        <f>Normtid!$T9</f>
        <v/>
      </c>
      <c r="P18" s="188">
        <f t="shared" ca="1" si="5"/>
        <v>0</v>
      </c>
    </row>
    <row r="19" spans="2:16" ht="15.75" customHeight="1">
      <c r="B19" s="460" t="str">
        <f t="shared" ca="1" si="0"/>
        <v/>
      </c>
      <c r="C19" s="461" t="str">
        <f t="shared" ca="1" si="1"/>
        <v/>
      </c>
      <c r="D19" s="195">
        <f t="shared" ca="1" si="2"/>
        <v>0</v>
      </c>
      <c r="E19" s="196">
        <f t="shared" ca="1" si="3"/>
        <v>0</v>
      </c>
      <c r="F19" s="191">
        <f ca="1">IF(AND(H19&gt;=startdag,H19&lt;=slutdag),IF(TODAY()&gt;=H19,Normtid!S10,0),0)</f>
        <v>0</v>
      </c>
      <c r="G19" s="403"/>
      <c r="H19" s="189">
        <f>Normtid!R10</f>
        <v>43987</v>
      </c>
      <c r="I19" s="190" t="str">
        <f t="shared" si="4"/>
        <v>Tor</v>
      </c>
      <c r="J19" s="192"/>
      <c r="K19" s="192"/>
      <c r="L19" s="192"/>
      <c r="M19" s="202"/>
      <c r="N19" s="383"/>
      <c r="O19" s="203" t="str">
        <f>Normtid!$T10</f>
        <v>Nationaldagen</v>
      </c>
      <c r="P19" s="196">
        <f t="shared" ca="1" si="5"/>
        <v>0</v>
      </c>
    </row>
    <row r="20" spans="2:16" ht="15.75" customHeight="1">
      <c r="B20" s="462" t="str">
        <f t="shared" ca="1" si="0"/>
        <v/>
      </c>
      <c r="C20" s="463" t="str">
        <f t="shared" ca="1" si="1"/>
        <v/>
      </c>
      <c r="D20" s="388">
        <f t="shared" ca="1" si="2"/>
        <v>0</v>
      </c>
      <c r="E20" s="188">
        <f t="shared" ca="1" si="3"/>
        <v>0</v>
      </c>
      <c r="F20" s="183">
        <f ca="1">IF(AND(H20&gt;=startdag,H20&lt;=slutdag),IF(TODAY()&gt;=H20,Normtid!S11,0),0)</f>
        <v>0</v>
      </c>
      <c r="G20" s="403"/>
      <c r="H20" s="181">
        <f>Normtid!R11</f>
        <v>43988</v>
      </c>
      <c r="I20" s="182" t="str">
        <f t="shared" si="4"/>
        <v>Fre</v>
      </c>
      <c r="J20" s="184"/>
      <c r="K20" s="184"/>
      <c r="L20" s="184"/>
      <c r="M20" s="204"/>
      <c r="N20" s="379"/>
      <c r="O20" s="205" t="str">
        <f>Normtid!$T11</f>
        <v>Klämdag</v>
      </c>
      <c r="P20" s="188">
        <f t="shared" ca="1" si="5"/>
        <v>0</v>
      </c>
    </row>
    <row r="21" spans="2:16" ht="15.75" customHeight="1">
      <c r="B21" s="460" t="str">
        <f t="shared" ca="1" si="0"/>
        <v/>
      </c>
      <c r="C21" s="461" t="str">
        <f t="shared" ca="1" si="1"/>
        <v/>
      </c>
      <c r="D21" s="195">
        <f t="shared" ca="1" si="2"/>
        <v>0</v>
      </c>
      <c r="E21" s="196">
        <f t="shared" ca="1" si="3"/>
        <v>0</v>
      </c>
      <c r="F21" s="191">
        <f ca="1">IF(AND(H21&gt;=startdag,H21&lt;=slutdag),IF(TODAY()&gt;=H21,Normtid!S12,0),0)</f>
        <v>0</v>
      </c>
      <c r="G21" s="403"/>
      <c r="H21" s="189">
        <f>Normtid!R12</f>
        <v>43989</v>
      </c>
      <c r="I21" s="190" t="str">
        <f t="shared" si="4"/>
        <v>Lör</v>
      </c>
      <c r="J21" s="192"/>
      <c r="K21" s="192"/>
      <c r="L21" s="192"/>
      <c r="M21" s="202"/>
      <c r="N21" s="383"/>
      <c r="O21" s="203" t="str">
        <f>Normtid!$T12</f>
        <v/>
      </c>
      <c r="P21" s="196">
        <f t="shared" ca="1" si="5"/>
        <v>0</v>
      </c>
    </row>
    <row r="22" spans="2:16" ht="15.75" customHeight="1">
      <c r="B22" s="462" t="str">
        <f t="shared" ca="1" si="0"/>
        <v/>
      </c>
      <c r="C22" s="463" t="str">
        <f t="shared" ca="1" si="1"/>
        <v/>
      </c>
      <c r="D22" s="388">
        <f t="shared" ca="1" si="2"/>
        <v>0</v>
      </c>
      <c r="E22" s="188">
        <f t="shared" ca="1" si="3"/>
        <v>0</v>
      </c>
      <c r="F22" s="183">
        <f ca="1">IF(AND(H22&gt;=startdag,H22&lt;=slutdag),IF(TODAY()&gt;=H22,Normtid!S13,0),0)</f>
        <v>0</v>
      </c>
      <c r="G22" s="403"/>
      <c r="H22" s="181">
        <f>Normtid!R13</f>
        <v>43990</v>
      </c>
      <c r="I22" s="182" t="str">
        <f t="shared" si="4"/>
        <v>Sön</v>
      </c>
      <c r="J22" s="184"/>
      <c r="K22" s="184"/>
      <c r="L22" s="184"/>
      <c r="M22" s="204"/>
      <c r="N22" s="379"/>
      <c r="O22" s="205" t="str">
        <f>Normtid!$T13</f>
        <v/>
      </c>
      <c r="P22" s="188">
        <f t="shared" ca="1" si="5"/>
        <v>0</v>
      </c>
    </row>
    <row r="23" spans="2:16" ht="15.75" customHeight="1">
      <c r="B23" s="460" t="str">
        <f t="shared" ca="1" si="0"/>
        <v/>
      </c>
      <c r="C23" s="461" t="str">
        <f t="shared" ca="1" si="1"/>
        <v/>
      </c>
      <c r="D23" s="195">
        <f t="shared" ca="1" si="2"/>
        <v>0</v>
      </c>
      <c r="E23" s="196">
        <f t="shared" ca="1" si="3"/>
        <v>0</v>
      </c>
      <c r="F23" s="191">
        <f ca="1">IF(AND(H23&gt;=startdag,H23&lt;=slutdag),IF(TODAY()&gt;=H23,Normtid!S14,0),0)</f>
        <v>0</v>
      </c>
      <c r="G23" s="403"/>
      <c r="H23" s="189">
        <f>Normtid!R14</f>
        <v>43991</v>
      </c>
      <c r="I23" s="190" t="str">
        <f t="shared" si="4"/>
        <v>Mån</v>
      </c>
      <c r="J23" s="192"/>
      <c r="K23" s="192"/>
      <c r="L23" s="192"/>
      <c r="M23" s="202"/>
      <c r="N23" s="383"/>
      <c r="O23" s="203" t="str">
        <f>Normtid!$T14</f>
        <v/>
      </c>
      <c r="P23" s="196">
        <f t="shared" ca="1" si="5"/>
        <v>0</v>
      </c>
    </row>
    <row r="24" spans="2:16" ht="15.75" customHeight="1">
      <c r="B24" s="462" t="str">
        <f t="shared" ca="1" si="0"/>
        <v/>
      </c>
      <c r="C24" s="463" t="str">
        <f t="shared" ca="1" si="1"/>
        <v/>
      </c>
      <c r="D24" s="388">
        <f t="shared" ca="1" si="2"/>
        <v>0</v>
      </c>
      <c r="E24" s="188">
        <f t="shared" ca="1" si="3"/>
        <v>0</v>
      </c>
      <c r="F24" s="183">
        <f ca="1">IF(AND(H24&gt;=startdag,H24&lt;=slutdag),IF(TODAY()&gt;=H24,Normtid!S15,0),0)</f>
        <v>0</v>
      </c>
      <c r="G24" s="403"/>
      <c r="H24" s="181">
        <f>Normtid!R15</f>
        <v>43992</v>
      </c>
      <c r="I24" s="182" t="str">
        <f t="shared" si="4"/>
        <v>Tis</v>
      </c>
      <c r="J24" s="184"/>
      <c r="K24" s="184"/>
      <c r="L24" s="184"/>
      <c r="M24" s="204"/>
      <c r="N24" s="379"/>
      <c r="O24" s="205" t="str">
        <f>Normtid!$T15</f>
        <v/>
      </c>
      <c r="P24" s="188">
        <f t="shared" ca="1" si="5"/>
        <v>0</v>
      </c>
    </row>
    <row r="25" spans="2:16" ht="15.75" customHeight="1">
      <c r="B25" s="460" t="str">
        <f t="shared" ca="1" si="0"/>
        <v/>
      </c>
      <c r="C25" s="461" t="str">
        <f t="shared" ca="1" si="1"/>
        <v/>
      </c>
      <c r="D25" s="195">
        <f t="shared" ca="1" si="2"/>
        <v>0</v>
      </c>
      <c r="E25" s="196">
        <f t="shared" ca="1" si="3"/>
        <v>0</v>
      </c>
      <c r="F25" s="191">
        <f ca="1">IF(AND(H25&gt;=startdag,H25&lt;=slutdag),IF(TODAY()&gt;=H25,Normtid!S16,0),0)</f>
        <v>0</v>
      </c>
      <c r="G25" s="403"/>
      <c r="H25" s="189">
        <f>Normtid!R16</f>
        <v>43993</v>
      </c>
      <c r="I25" s="190" t="str">
        <f t="shared" si="4"/>
        <v>Ons</v>
      </c>
      <c r="J25" s="192"/>
      <c r="K25" s="192"/>
      <c r="L25" s="192"/>
      <c r="M25" s="202"/>
      <c r="N25" s="383"/>
      <c r="O25" s="203" t="str">
        <f>Normtid!$T16</f>
        <v/>
      </c>
      <c r="P25" s="196">
        <f t="shared" ca="1" si="5"/>
        <v>0</v>
      </c>
    </row>
    <row r="26" spans="2:16" ht="15.75" customHeight="1">
      <c r="B26" s="462" t="str">
        <f t="shared" ca="1" si="0"/>
        <v/>
      </c>
      <c r="C26" s="463" t="str">
        <f t="shared" ca="1" si="1"/>
        <v/>
      </c>
      <c r="D26" s="388">
        <f t="shared" ca="1" si="2"/>
        <v>0</v>
      </c>
      <c r="E26" s="188">
        <f t="shared" ca="1" si="3"/>
        <v>0</v>
      </c>
      <c r="F26" s="183">
        <f ca="1">IF(AND(H26&gt;=startdag,H26&lt;=slutdag),IF(TODAY()&gt;=H26,Normtid!S17,0),0)</f>
        <v>0</v>
      </c>
      <c r="G26" s="403"/>
      <c r="H26" s="181">
        <f>Normtid!R17</f>
        <v>43994</v>
      </c>
      <c r="I26" s="182" t="str">
        <f t="shared" si="4"/>
        <v>Tor</v>
      </c>
      <c r="J26" s="184"/>
      <c r="K26" s="184"/>
      <c r="L26" s="184"/>
      <c r="M26" s="204"/>
      <c r="N26" s="379"/>
      <c r="O26" s="205" t="str">
        <f>Normtid!$T17</f>
        <v/>
      </c>
      <c r="P26" s="188">
        <f t="shared" ca="1" si="5"/>
        <v>0</v>
      </c>
    </row>
    <row r="27" spans="2:16" ht="15.75" customHeight="1">
      <c r="B27" s="460" t="str">
        <f t="shared" ca="1" si="0"/>
        <v/>
      </c>
      <c r="C27" s="461" t="str">
        <f t="shared" ca="1" si="1"/>
        <v/>
      </c>
      <c r="D27" s="195">
        <f t="shared" ca="1" si="2"/>
        <v>0</v>
      </c>
      <c r="E27" s="196">
        <f t="shared" ca="1" si="3"/>
        <v>0</v>
      </c>
      <c r="F27" s="191">
        <f ca="1">IF(AND(H27&gt;=startdag,H27&lt;=slutdag),IF(TODAY()&gt;=H27,Normtid!S18,0),0)</f>
        <v>0</v>
      </c>
      <c r="G27" s="403"/>
      <c r="H27" s="189">
        <f>Normtid!R18</f>
        <v>43995</v>
      </c>
      <c r="I27" s="190" t="str">
        <f t="shared" si="4"/>
        <v>Fre</v>
      </c>
      <c r="J27" s="192"/>
      <c r="K27" s="192"/>
      <c r="L27" s="192"/>
      <c r="M27" s="202"/>
      <c r="N27" s="383"/>
      <c r="O27" s="203" t="str">
        <f>Normtid!$T18</f>
        <v/>
      </c>
      <c r="P27" s="196">
        <f t="shared" ca="1" si="5"/>
        <v>0</v>
      </c>
    </row>
    <row r="28" spans="2:16" ht="15.75" customHeight="1">
      <c r="B28" s="462" t="str">
        <f t="shared" ca="1" si="0"/>
        <v/>
      </c>
      <c r="C28" s="463" t="str">
        <f t="shared" ca="1" si="1"/>
        <v/>
      </c>
      <c r="D28" s="388">
        <f t="shared" ca="1" si="2"/>
        <v>0</v>
      </c>
      <c r="E28" s="188">
        <f t="shared" ca="1" si="3"/>
        <v>0</v>
      </c>
      <c r="F28" s="183">
        <f ca="1">IF(AND(H28&gt;=startdag,H28&lt;=slutdag),IF(TODAY()&gt;=H28,Normtid!S19,0),0)</f>
        <v>0</v>
      </c>
      <c r="G28" s="403"/>
      <c r="H28" s="181">
        <f>Normtid!R19</f>
        <v>43996</v>
      </c>
      <c r="I28" s="182" t="str">
        <f t="shared" si="4"/>
        <v>Lör</v>
      </c>
      <c r="J28" s="184"/>
      <c r="K28" s="184"/>
      <c r="L28" s="184"/>
      <c r="M28" s="204"/>
      <c r="N28" s="379"/>
      <c r="O28" s="205" t="str">
        <f>Normtid!$T19</f>
        <v/>
      </c>
      <c r="P28" s="188">
        <f t="shared" ca="1" si="5"/>
        <v>0</v>
      </c>
    </row>
    <row r="29" spans="2:16" ht="15.75" customHeight="1">
      <c r="B29" s="460" t="str">
        <f t="shared" ca="1" si="0"/>
        <v/>
      </c>
      <c r="C29" s="461" t="str">
        <f t="shared" ca="1" si="1"/>
        <v/>
      </c>
      <c r="D29" s="195">
        <f t="shared" ca="1" si="2"/>
        <v>0</v>
      </c>
      <c r="E29" s="196">
        <f t="shared" ca="1" si="3"/>
        <v>0</v>
      </c>
      <c r="F29" s="191">
        <f ca="1">IF(AND(H29&gt;=startdag,H29&lt;=slutdag),IF(TODAY()&gt;=H29,Normtid!S20,0),0)</f>
        <v>0</v>
      </c>
      <c r="G29" s="403"/>
      <c r="H29" s="189">
        <f>Normtid!R20</f>
        <v>43997</v>
      </c>
      <c r="I29" s="190" t="str">
        <f t="shared" si="4"/>
        <v>Sön</v>
      </c>
      <c r="J29" s="192"/>
      <c r="K29" s="192"/>
      <c r="L29" s="192"/>
      <c r="M29" s="202"/>
      <c r="N29" s="383"/>
      <c r="O29" s="203" t="str">
        <f>Normtid!$T20</f>
        <v/>
      </c>
      <c r="P29" s="196">
        <f t="shared" ca="1" si="5"/>
        <v>0</v>
      </c>
    </row>
    <row r="30" spans="2:16" ht="15.75" customHeight="1">
      <c r="B30" s="462" t="str">
        <f t="shared" ca="1" si="0"/>
        <v/>
      </c>
      <c r="C30" s="463" t="str">
        <f t="shared" ca="1" si="1"/>
        <v/>
      </c>
      <c r="D30" s="388">
        <f t="shared" ca="1" si="2"/>
        <v>0</v>
      </c>
      <c r="E30" s="188">
        <f t="shared" ca="1" si="3"/>
        <v>0</v>
      </c>
      <c r="F30" s="183">
        <f ca="1">IF(AND(H30&gt;=startdag,H30&lt;=slutdag),IF(TODAY()&gt;=H30,Normtid!S21,0),0)</f>
        <v>0</v>
      </c>
      <c r="G30" s="403"/>
      <c r="H30" s="181">
        <f>Normtid!R21</f>
        <v>43998</v>
      </c>
      <c r="I30" s="182" t="str">
        <f t="shared" si="4"/>
        <v>Mån</v>
      </c>
      <c r="J30" s="184"/>
      <c r="K30" s="184"/>
      <c r="L30" s="184"/>
      <c r="M30" s="204"/>
      <c r="N30" s="379"/>
      <c r="O30" s="205" t="str">
        <f>Normtid!$T21</f>
        <v/>
      </c>
      <c r="P30" s="188">
        <f t="shared" ca="1" si="5"/>
        <v>0</v>
      </c>
    </row>
    <row r="31" spans="2:16" ht="15.75" customHeight="1">
      <c r="B31" s="460" t="str">
        <f t="shared" ca="1" si="0"/>
        <v/>
      </c>
      <c r="C31" s="461" t="str">
        <f t="shared" ca="1" si="1"/>
        <v/>
      </c>
      <c r="D31" s="195">
        <f t="shared" ca="1" si="2"/>
        <v>0</v>
      </c>
      <c r="E31" s="196">
        <f t="shared" ca="1" si="3"/>
        <v>0</v>
      </c>
      <c r="F31" s="191">
        <f ca="1">IF(AND(H31&gt;=startdag,H31&lt;=slutdag),IF(TODAY()&gt;=H31,Normtid!S22,0),0)</f>
        <v>0</v>
      </c>
      <c r="G31" s="403"/>
      <c r="H31" s="189">
        <f>Normtid!R22</f>
        <v>43999</v>
      </c>
      <c r="I31" s="190" t="str">
        <f t="shared" si="4"/>
        <v>Tis</v>
      </c>
      <c r="J31" s="192"/>
      <c r="K31" s="192"/>
      <c r="L31" s="192"/>
      <c r="M31" s="202"/>
      <c r="N31" s="383"/>
      <c r="O31" s="203" t="str">
        <f>Normtid!$T22</f>
        <v/>
      </c>
      <c r="P31" s="196">
        <f t="shared" ca="1" si="5"/>
        <v>0</v>
      </c>
    </row>
    <row r="32" spans="2:16" ht="15.75" customHeight="1">
      <c r="B32" s="462" t="str">
        <f t="shared" ca="1" si="0"/>
        <v/>
      </c>
      <c r="C32" s="463" t="str">
        <f t="shared" ca="1" si="1"/>
        <v/>
      </c>
      <c r="D32" s="388">
        <f t="shared" ca="1" si="2"/>
        <v>0</v>
      </c>
      <c r="E32" s="188">
        <f t="shared" ca="1" si="3"/>
        <v>0</v>
      </c>
      <c r="F32" s="183">
        <f ca="1">IF(AND(H32&gt;=startdag,H32&lt;=slutdag),IF(TODAY()&gt;=H32,Normtid!S23,0),0)</f>
        <v>0</v>
      </c>
      <c r="G32" s="403"/>
      <c r="H32" s="181">
        <f>Normtid!R23</f>
        <v>44000</v>
      </c>
      <c r="I32" s="182" t="str">
        <f t="shared" si="4"/>
        <v>Ons</v>
      </c>
      <c r="J32" s="184"/>
      <c r="K32" s="184"/>
      <c r="L32" s="184"/>
      <c r="M32" s="204"/>
      <c r="N32" s="379"/>
      <c r="O32" s="205" t="str">
        <f>Normtid!$T23</f>
        <v/>
      </c>
      <c r="P32" s="188">
        <f t="shared" ca="1" si="5"/>
        <v>0</v>
      </c>
    </row>
    <row r="33" spans="1:16" ht="15.75" customHeight="1">
      <c r="B33" s="460" t="str">
        <f t="shared" ca="1" si="0"/>
        <v/>
      </c>
      <c r="C33" s="461" t="str">
        <f t="shared" ca="1" si="1"/>
        <v/>
      </c>
      <c r="D33" s="195">
        <f t="shared" ca="1" si="2"/>
        <v>0</v>
      </c>
      <c r="E33" s="196">
        <f t="shared" ca="1" si="3"/>
        <v>0</v>
      </c>
      <c r="F33" s="191">
        <f ca="1">IF(AND(H33&gt;=startdag,H33&lt;=slutdag),IF(TODAY()&gt;=H33,Normtid!S24,0),0)</f>
        <v>0</v>
      </c>
      <c r="G33" s="403"/>
      <c r="H33" s="189">
        <f>Normtid!R24</f>
        <v>44001</v>
      </c>
      <c r="I33" s="190" t="str">
        <f t="shared" si="4"/>
        <v>Tor</v>
      </c>
      <c r="J33" s="192"/>
      <c r="K33" s="192"/>
      <c r="L33" s="192"/>
      <c r="M33" s="202"/>
      <c r="N33" s="383"/>
      <c r="O33" s="203" t="str">
        <f>Normtid!$T24</f>
        <v/>
      </c>
      <c r="P33" s="196">
        <f t="shared" ca="1" si="5"/>
        <v>0</v>
      </c>
    </row>
    <row r="34" spans="1:16" ht="15.75" customHeight="1">
      <c r="B34" s="462" t="str">
        <f t="shared" ca="1" si="0"/>
        <v/>
      </c>
      <c r="C34" s="463" t="str">
        <f t="shared" ca="1" si="1"/>
        <v/>
      </c>
      <c r="D34" s="388">
        <f t="shared" ca="1" si="2"/>
        <v>0</v>
      </c>
      <c r="E34" s="188">
        <f t="shared" ca="1" si="3"/>
        <v>0</v>
      </c>
      <c r="F34" s="183">
        <f ca="1">IF(AND(H34&gt;=startdag,H34&lt;=slutdag),IF(TODAY()&gt;=H34,Normtid!S25,0),0)</f>
        <v>0</v>
      </c>
      <c r="G34" s="403"/>
      <c r="H34" s="181">
        <f>Normtid!R25</f>
        <v>44002</v>
      </c>
      <c r="I34" s="182" t="str">
        <f t="shared" si="4"/>
        <v>Fre</v>
      </c>
      <c r="J34" s="184"/>
      <c r="K34" s="184"/>
      <c r="L34" s="184"/>
      <c r="M34" s="204"/>
      <c r="N34" s="379"/>
      <c r="O34" s="205" t="str">
        <f>Normtid!$T25</f>
        <v>Midsommarafton</v>
      </c>
      <c r="P34" s="188">
        <f t="shared" ca="1" si="5"/>
        <v>0</v>
      </c>
    </row>
    <row r="35" spans="1:16" ht="15.75" customHeight="1">
      <c r="B35" s="460" t="str">
        <f t="shared" ca="1" si="0"/>
        <v/>
      </c>
      <c r="C35" s="461" t="str">
        <f t="shared" ca="1" si="1"/>
        <v/>
      </c>
      <c r="D35" s="195">
        <f t="shared" ca="1" si="2"/>
        <v>0</v>
      </c>
      <c r="E35" s="196">
        <f t="shared" ca="1" si="3"/>
        <v>0</v>
      </c>
      <c r="F35" s="191">
        <f ca="1">IF(AND(H35&gt;=startdag,H35&lt;=slutdag),IF(TODAY()&gt;=H35,Normtid!S26,0),0)</f>
        <v>0</v>
      </c>
      <c r="G35" s="403"/>
      <c r="H35" s="189">
        <f>Normtid!R26</f>
        <v>44003</v>
      </c>
      <c r="I35" s="190" t="str">
        <f t="shared" si="4"/>
        <v>Lör</v>
      </c>
      <c r="J35" s="192"/>
      <c r="K35" s="192"/>
      <c r="L35" s="192"/>
      <c r="M35" s="202"/>
      <c r="N35" s="383"/>
      <c r="O35" s="203" t="str">
        <f>Normtid!$T26</f>
        <v>Midsommardagen</v>
      </c>
      <c r="P35" s="196">
        <f t="shared" ca="1" si="5"/>
        <v>0</v>
      </c>
    </row>
    <row r="36" spans="1:16" ht="15.75" customHeight="1">
      <c r="B36" s="462" t="str">
        <f t="shared" ca="1" si="0"/>
        <v/>
      </c>
      <c r="C36" s="463" t="str">
        <f t="shared" ca="1" si="1"/>
        <v/>
      </c>
      <c r="D36" s="388">
        <f t="shared" ca="1" si="2"/>
        <v>0</v>
      </c>
      <c r="E36" s="188">
        <f t="shared" ca="1" si="3"/>
        <v>0</v>
      </c>
      <c r="F36" s="183">
        <f ca="1">IF(AND(H36&gt;=startdag,H36&lt;=slutdag),IF(TODAY()&gt;=H36,Normtid!S27,0),0)</f>
        <v>0</v>
      </c>
      <c r="G36" s="403"/>
      <c r="H36" s="181">
        <f>Normtid!R27</f>
        <v>44004</v>
      </c>
      <c r="I36" s="182" t="str">
        <f t="shared" si="4"/>
        <v>Sön</v>
      </c>
      <c r="J36" s="184"/>
      <c r="K36" s="184"/>
      <c r="L36" s="184"/>
      <c r="M36" s="204"/>
      <c r="N36" s="379"/>
      <c r="O36" s="205" t="str">
        <f>Normtid!$T27</f>
        <v/>
      </c>
      <c r="P36" s="188">
        <f t="shared" ca="1" si="5"/>
        <v>0</v>
      </c>
    </row>
    <row r="37" spans="1:16" ht="15.75" customHeight="1">
      <c r="B37" s="460" t="str">
        <f t="shared" ca="1" si="0"/>
        <v/>
      </c>
      <c r="C37" s="461" t="str">
        <f t="shared" ca="1" si="1"/>
        <v/>
      </c>
      <c r="D37" s="195">
        <f t="shared" ca="1" si="2"/>
        <v>0</v>
      </c>
      <c r="E37" s="196">
        <f t="shared" ca="1" si="3"/>
        <v>0</v>
      </c>
      <c r="F37" s="191">
        <f ca="1">IF(AND(H37&gt;=startdag,H37&lt;=slutdag),IF(TODAY()&gt;=H37,Normtid!S28,0),0)</f>
        <v>0</v>
      </c>
      <c r="G37" s="403"/>
      <c r="H37" s="189">
        <f>Normtid!R28</f>
        <v>44005</v>
      </c>
      <c r="I37" s="190" t="str">
        <f t="shared" si="4"/>
        <v>Mån</v>
      </c>
      <c r="J37" s="192"/>
      <c r="K37" s="192"/>
      <c r="L37" s="192"/>
      <c r="M37" s="202"/>
      <c r="N37" s="383"/>
      <c r="O37" s="203" t="str">
        <f>Normtid!$T28</f>
        <v/>
      </c>
      <c r="P37" s="196">
        <f t="shared" ca="1" si="5"/>
        <v>0</v>
      </c>
    </row>
    <row r="38" spans="1:16" ht="15.75" customHeight="1">
      <c r="B38" s="462" t="str">
        <f t="shared" ca="1" si="0"/>
        <v/>
      </c>
      <c r="C38" s="463" t="str">
        <f t="shared" ca="1" si="1"/>
        <v/>
      </c>
      <c r="D38" s="388">
        <f t="shared" ca="1" si="2"/>
        <v>0</v>
      </c>
      <c r="E38" s="188">
        <f t="shared" ca="1" si="3"/>
        <v>0</v>
      </c>
      <c r="F38" s="183">
        <f ca="1">IF(AND(H38&gt;=startdag,H38&lt;=slutdag),IF(TODAY()&gt;=H38,Normtid!S29,0),0)</f>
        <v>0</v>
      </c>
      <c r="G38" s="403"/>
      <c r="H38" s="181">
        <f>Normtid!R29</f>
        <v>44006</v>
      </c>
      <c r="I38" s="182" t="str">
        <f t="shared" si="4"/>
        <v>Tis</v>
      </c>
      <c r="J38" s="184"/>
      <c r="K38" s="184"/>
      <c r="L38" s="184"/>
      <c r="M38" s="204"/>
      <c r="N38" s="379"/>
      <c r="O38" s="205" t="str">
        <f>Normtid!$T29</f>
        <v/>
      </c>
      <c r="P38" s="188">
        <f t="shared" ca="1" si="5"/>
        <v>0</v>
      </c>
    </row>
    <row r="39" spans="1:16" ht="15.75" customHeight="1">
      <c r="B39" s="460" t="str">
        <f t="shared" ca="1" si="0"/>
        <v/>
      </c>
      <c r="C39" s="461" t="str">
        <f t="shared" ca="1" si="1"/>
        <v/>
      </c>
      <c r="D39" s="195">
        <f t="shared" ca="1" si="2"/>
        <v>0</v>
      </c>
      <c r="E39" s="196">
        <f t="shared" ca="1" si="3"/>
        <v>0</v>
      </c>
      <c r="F39" s="191">
        <f ca="1">IF(AND(H39&gt;=startdag,H39&lt;=slutdag),IF(TODAY()&gt;=H39,Normtid!S30,0),0)</f>
        <v>0</v>
      </c>
      <c r="G39" s="403"/>
      <c r="H39" s="189">
        <f>Normtid!R30</f>
        <v>44007</v>
      </c>
      <c r="I39" s="190" t="str">
        <f t="shared" si="4"/>
        <v>Ons</v>
      </c>
      <c r="J39" s="192"/>
      <c r="K39" s="192"/>
      <c r="L39" s="192"/>
      <c r="M39" s="202"/>
      <c r="N39" s="383"/>
      <c r="O39" s="203" t="str">
        <f>Normtid!$T30</f>
        <v/>
      </c>
      <c r="P39" s="196">
        <f t="shared" ca="1" si="5"/>
        <v>0</v>
      </c>
    </row>
    <row r="40" spans="1:16" ht="15.75" customHeight="1">
      <c r="B40" s="462" t="str">
        <f t="shared" ca="1" si="0"/>
        <v/>
      </c>
      <c r="C40" s="463" t="str">
        <f t="shared" ca="1" si="1"/>
        <v/>
      </c>
      <c r="D40" s="388">
        <f t="shared" ca="1" si="2"/>
        <v>0</v>
      </c>
      <c r="E40" s="188">
        <f t="shared" ca="1" si="3"/>
        <v>0</v>
      </c>
      <c r="F40" s="183">
        <f ca="1">IF(AND(H40&gt;=startdag,H40&lt;=slutdag),IF(TODAY()&gt;=H40,Normtid!S31,0),0)</f>
        <v>0</v>
      </c>
      <c r="G40" s="403"/>
      <c r="H40" s="181">
        <f>Normtid!R31</f>
        <v>44008</v>
      </c>
      <c r="I40" s="182" t="str">
        <f t="shared" si="4"/>
        <v>Tor</v>
      </c>
      <c r="J40" s="184"/>
      <c r="K40" s="184"/>
      <c r="L40" s="184"/>
      <c r="M40" s="204"/>
      <c r="N40" s="379"/>
      <c r="O40" s="205" t="str">
        <f>Normtid!$T31</f>
        <v/>
      </c>
      <c r="P40" s="188">
        <f t="shared" ca="1" si="5"/>
        <v>0</v>
      </c>
    </row>
    <row r="41" spans="1:16" ht="15.75" customHeight="1">
      <c r="B41" s="460" t="str">
        <f t="shared" ca="1" si="0"/>
        <v/>
      </c>
      <c r="C41" s="461" t="str">
        <f t="shared" ca="1" si="1"/>
        <v/>
      </c>
      <c r="D41" s="195">
        <f t="shared" ca="1" si="2"/>
        <v>0</v>
      </c>
      <c r="E41" s="196">
        <f t="shared" ca="1" si="3"/>
        <v>0</v>
      </c>
      <c r="F41" s="191">
        <f ca="1">IF(AND(H41&gt;=startdag,H41&lt;=slutdag),IF(TODAY()&gt;=H41,Normtid!S32,0),0)</f>
        <v>0</v>
      </c>
      <c r="G41" s="403"/>
      <c r="H41" s="189">
        <f>Normtid!R32</f>
        <v>44009</v>
      </c>
      <c r="I41" s="190" t="str">
        <f t="shared" si="4"/>
        <v>Fre</v>
      </c>
      <c r="J41" s="192"/>
      <c r="K41" s="192"/>
      <c r="L41" s="192"/>
      <c r="M41" s="202"/>
      <c r="N41" s="383"/>
      <c r="O41" s="203" t="str">
        <f>Normtid!$T32</f>
        <v/>
      </c>
      <c r="P41" s="196">
        <f t="shared" ca="1" si="5"/>
        <v>0</v>
      </c>
    </row>
    <row r="42" spans="1:16" ht="15.75" customHeight="1">
      <c r="B42" s="462" t="str">
        <f t="shared" ca="1" si="0"/>
        <v/>
      </c>
      <c r="C42" s="463" t="str">
        <f t="shared" ca="1" si="1"/>
        <v/>
      </c>
      <c r="D42" s="388">
        <f t="shared" ca="1" si="2"/>
        <v>0</v>
      </c>
      <c r="E42" s="188">
        <f t="shared" ca="1" si="3"/>
        <v>0</v>
      </c>
      <c r="F42" s="183">
        <f ca="1">IF(AND(H42&gt;=startdag,H42&lt;=slutdag),IF(TODAY()&gt;=H42,Normtid!S33,0),0)</f>
        <v>0</v>
      </c>
      <c r="G42" s="403"/>
      <c r="H42" s="181">
        <f>Normtid!R33</f>
        <v>44010</v>
      </c>
      <c r="I42" s="182" t="str">
        <f t="shared" si="4"/>
        <v>Lör</v>
      </c>
      <c r="J42" s="184"/>
      <c r="K42" s="184"/>
      <c r="L42" s="184"/>
      <c r="M42" s="204"/>
      <c r="N42" s="379"/>
      <c r="O42" s="205" t="str">
        <f>Normtid!$T33</f>
        <v/>
      </c>
      <c r="P42" s="188">
        <f t="shared" ca="1" si="5"/>
        <v>0</v>
      </c>
    </row>
    <row r="43" spans="1:16" ht="15.75" customHeight="1">
      <c r="B43" s="460" t="str">
        <f t="shared" ca="1" si="0"/>
        <v/>
      </c>
      <c r="C43" s="461" t="str">
        <f t="shared" ca="1" si="1"/>
        <v/>
      </c>
      <c r="D43" s="195">
        <f t="shared" ca="1" si="2"/>
        <v>0</v>
      </c>
      <c r="E43" s="196">
        <f t="shared" ca="1" si="3"/>
        <v>0</v>
      </c>
      <c r="F43" s="191">
        <f ca="1">IF(AND(H43&gt;=startdag,H43&lt;=slutdag),IF(TODAY()&gt;=H43,Normtid!S34,0),0)</f>
        <v>0</v>
      </c>
      <c r="G43" s="403"/>
      <c r="H43" s="189">
        <f>Normtid!R34</f>
        <v>44011</v>
      </c>
      <c r="I43" s="190" t="str">
        <f t="shared" si="4"/>
        <v>Sön</v>
      </c>
      <c r="J43" s="192"/>
      <c r="K43" s="192"/>
      <c r="L43" s="192"/>
      <c r="M43" s="202"/>
      <c r="N43" s="383"/>
      <c r="O43" s="203" t="str">
        <f>Normtid!$T34</f>
        <v/>
      </c>
      <c r="P43" s="196">
        <f t="shared" ca="1" si="5"/>
        <v>0</v>
      </c>
    </row>
    <row r="44" spans="1:16" ht="15.75" customHeight="1">
      <c r="B44" s="464" t="str">
        <f t="shared" ca="1" si="0"/>
        <v/>
      </c>
      <c r="C44" s="465" t="str">
        <f t="shared" ca="1" si="1"/>
        <v/>
      </c>
      <c r="D44" s="389">
        <f t="shared" ca="1" si="2"/>
        <v>0</v>
      </c>
      <c r="E44" s="91">
        <f t="shared" ca="1" si="3"/>
        <v>0</v>
      </c>
      <c r="F44" s="220">
        <f ca="1">IF(AND(H44&gt;=startdag,H44&lt;=slutdag),IF(TODAY()&gt;=H44,Normtid!S35,0),0)</f>
        <v>0</v>
      </c>
      <c r="G44" s="403"/>
      <c r="H44" s="45"/>
      <c r="I44" s="46"/>
      <c r="J44" s="92"/>
      <c r="K44" s="92"/>
      <c r="L44" s="92"/>
      <c r="M44" s="93"/>
      <c r="N44" s="103"/>
      <c r="O44" s="104"/>
      <c r="P44" s="91">
        <f t="shared" ca="1" si="5"/>
        <v>0</v>
      </c>
    </row>
    <row r="45" spans="1:16" ht="15.75" customHeight="1" thickBot="1">
      <c r="A45" s="17"/>
      <c r="B45" s="17"/>
      <c r="C45" s="336"/>
      <c r="D45" s="80"/>
      <c r="E45" s="80"/>
      <c r="F45" s="80"/>
      <c r="G45" s="80"/>
      <c r="H45" s="80"/>
      <c r="I45" s="80"/>
      <c r="J45" s="81"/>
      <c r="K45" s="80"/>
      <c r="L45" s="80"/>
      <c r="M45" s="80"/>
      <c r="N45" s="80"/>
      <c r="O45" s="80"/>
      <c r="P45" s="80"/>
    </row>
    <row r="46" spans="1:16" ht="12.9">
      <c r="A46" s="548" t="str">
        <f>Felinfo!H10</f>
        <v>Flex 99:03C • huk-51 • ©</v>
      </c>
      <c r="C46" s="314"/>
      <c r="D46" s="64"/>
      <c r="E46" s="64"/>
      <c r="F46" s="17"/>
      <c r="G46" s="17"/>
      <c r="H46" s="51" t="str">
        <f ca="1">"Summa arbetad tid"&amp;IF(MONTH(H14)=MONTH(TODAY())," t o m ""i dag""","")</f>
        <v>Summa arbetad tid</v>
      </c>
      <c r="I46" s="52"/>
      <c r="J46" s="53"/>
      <c r="K46" s="53"/>
      <c r="L46" s="53"/>
      <c r="M46" s="53"/>
      <c r="N46" s="54"/>
      <c r="O46" s="52"/>
      <c r="P46" s="197">
        <f ca="1">IF(TODAY()&gt;=H14,SUMIF(P14:P44,"&gt;0"),0)</f>
        <v>0</v>
      </c>
    </row>
    <row r="47" spans="1:16" ht="14.25" customHeight="1">
      <c r="A47" s="555"/>
      <c r="C47" s="314"/>
      <c r="D47" s="60"/>
      <c r="E47" s="60"/>
      <c r="F47" s="17"/>
      <c r="G47" s="17"/>
      <c r="H47" s="56" t="str">
        <f ca="1">IF(MONTH(H14)=MONTH(TODAY()),"Månadens normalarbetstid t o m idag","Normalarbetstid för månaden")&amp;IF(AND(MONTH(TODAY())&gt;=MONTH(H14),N8&lt;&gt;1)," (normtid "&amp;SUM(F14:F44)&amp;" tim * tjänsteomfattning "&amp;TEXT(N8*1000,"## %)"),"")</f>
        <v>Normalarbetstid för månaden</v>
      </c>
      <c r="I47" s="17"/>
      <c r="J47" s="57"/>
      <c r="K47" s="57"/>
      <c r="L47" s="57"/>
      <c r="M47" s="57"/>
      <c r="N47" s="58"/>
      <c r="O47" s="59"/>
      <c r="P47" s="198">
        <f ca="1">IF(AND(TODAY()&gt;=H14,MONTH(H14)&gt;=MONTH(Grunddata!C22)),SUM(F14:F44)*N8,0)</f>
        <v>0</v>
      </c>
    </row>
    <row r="48" spans="1:16" ht="14.25" customHeight="1">
      <c r="A48" s="555"/>
      <c r="C48" s="314"/>
      <c r="D48" s="64"/>
      <c r="E48" s="64"/>
      <c r="F48" s="17"/>
      <c r="G48" s="17"/>
      <c r="H48" s="56" t="s">
        <v>35</v>
      </c>
      <c r="I48" s="17"/>
      <c r="J48" s="57"/>
      <c r="K48" s="61"/>
      <c r="L48" s="62"/>
      <c r="M48" s="63"/>
      <c r="N48" s="63"/>
      <c r="O48" s="63"/>
      <c r="P48" s="308">
        <f ca="1">IF(TODAY()&gt;=H14,IF(AND(MONTH(H14)=MONTH(Grunddata!C22),flyttsaldo&lt;&gt;0),flyttsaldo,MAJ!P50),0)</f>
        <v>0</v>
      </c>
    </row>
    <row r="49" spans="1:16" ht="14.25" customHeight="1">
      <c r="A49" s="555"/>
      <c r="C49" s="314"/>
      <c r="D49" s="64"/>
      <c r="E49" s="64"/>
      <c r="F49" s="17"/>
      <c r="G49" s="17"/>
      <c r="H49" s="56" t="str">
        <f>IF(tjänst=1,"Över","Mer")&amp;"tidstimmar (ersättning utbetalad med "&amp;TEXT(H14,"MMMM")&amp;"lönen)"</f>
        <v>Övertidstimmar (ersättning utbetalad med junilönen)</v>
      </c>
      <c r="I49" s="17"/>
      <c r="J49" s="57"/>
      <c r="K49" s="61"/>
      <c r="L49" s="62"/>
      <c r="M49" s="63"/>
      <c r="N49" s="63"/>
      <c r="O49" s="63"/>
      <c r="P49" s="372"/>
    </row>
    <row r="50" spans="1:16" ht="14.25" customHeight="1">
      <c r="A50" s="555"/>
      <c r="C50" s="314"/>
      <c r="D50" s="64"/>
      <c r="E50" s="64"/>
      <c r="F50" s="17"/>
      <c r="G50" s="17"/>
      <c r="H50" s="65" t="str">
        <f ca="1">IF(MONTH(H14)=MONTH(TODAY()),"Dagens saldo +/-","Nytt saldo +/-")</f>
        <v>Nytt saldo +/-</v>
      </c>
      <c r="I50" s="66"/>
      <c r="J50" s="67"/>
      <c r="K50" s="68"/>
      <c r="L50" s="69"/>
      <c r="M50" s="69"/>
      <c r="N50" s="69"/>
      <c r="O50" s="69"/>
      <c r="P50" s="469">
        <f ca="1">IF(TODAY()&gt;=H14,P46-P47+P48-ABS(P49),0)</f>
        <v>0</v>
      </c>
    </row>
    <row r="51" spans="1:16" ht="14.25" customHeight="1" thickBot="1">
      <c r="A51" s="555"/>
      <c r="C51" s="314"/>
      <c r="D51" s="64"/>
      <c r="E51" s="64"/>
      <c r="F51" s="17"/>
      <c r="G51" s="17"/>
      <c r="H51" s="71" t="s">
        <v>29</v>
      </c>
      <c r="I51" s="72"/>
      <c r="J51" s="73"/>
      <c r="K51" s="74">
        <f ca="1">IF(L51&gt;0,"månadens: ",)</f>
        <v>0</v>
      </c>
      <c r="L51" s="75">
        <f ca="1">MOD(SUM(D14:D44),100)</f>
        <v>0</v>
      </c>
      <c r="M51" s="76">
        <f ca="1">IF(N51&gt;0,"årets: ",)</f>
        <v>0</v>
      </c>
      <c r="N51" s="75">
        <f ca="1">'2024'!K19</f>
        <v>0</v>
      </c>
      <c r="O51" s="77" t="str">
        <f ca="1">"  kvarstående:  "&amp;'2024'!$L19</f>
        <v xml:space="preserve">  kvarstående:  0</v>
      </c>
      <c r="P51" s="79"/>
    </row>
    <row r="52" spans="1:16" ht="12" customHeight="1">
      <c r="A52" s="555"/>
      <c r="C52" s="314"/>
      <c r="F52" s="466"/>
      <c r="G52" s="466"/>
      <c r="H52" s="427" t="s">
        <v>75</v>
      </c>
      <c r="I52" s="428"/>
      <c r="J52" s="429"/>
      <c r="K52" s="430" t="s">
        <v>27</v>
      </c>
      <c r="L52" s="431"/>
      <c r="M52" s="431"/>
      <c r="N52" s="432"/>
      <c r="O52" s="433"/>
      <c r="P52" s="434"/>
    </row>
    <row r="53" spans="1:16" ht="27.75" customHeight="1" thickBot="1">
      <c r="A53" s="555"/>
      <c r="F53" s="467"/>
      <c r="G53" s="467"/>
      <c r="H53" s="561"/>
      <c r="I53" s="566"/>
      <c r="J53" s="567"/>
      <c r="K53" s="7"/>
      <c r="L53" s="7"/>
      <c r="M53" s="7"/>
      <c r="N53" s="9"/>
      <c r="O53" s="3"/>
      <c r="P53" s="4"/>
    </row>
    <row r="54" spans="1:16" ht="12" customHeight="1" thickBot="1">
      <c r="A54" s="360"/>
    </row>
    <row r="55" spans="1:16" ht="12" customHeight="1">
      <c r="A55" s="360"/>
      <c r="F55" s="125"/>
      <c r="G55" s="125"/>
      <c r="H55" s="5" t="s">
        <v>19</v>
      </c>
      <c r="I55" s="5"/>
      <c r="J55" s="427" t="s">
        <v>75</v>
      </c>
      <c r="K55" s="429"/>
      <c r="L55" s="430" t="s">
        <v>26</v>
      </c>
      <c r="M55" s="431"/>
      <c r="N55" s="432"/>
      <c r="O55" s="433"/>
      <c r="P55" s="435"/>
    </row>
    <row r="56" spans="1:16" ht="27.75" customHeight="1" thickBot="1">
      <c r="A56" s="360"/>
      <c r="F56" s="125"/>
      <c r="G56" s="125"/>
      <c r="J56" s="11"/>
      <c r="K56" s="10"/>
      <c r="L56" s="7"/>
      <c r="M56" s="7"/>
      <c r="N56" s="9"/>
      <c r="O56" s="3"/>
      <c r="P56" s="4"/>
    </row>
    <row r="59" spans="1:16">
      <c r="C59" s="318"/>
      <c r="D59" s="64"/>
      <c r="E59" s="64"/>
      <c r="F59" s="17"/>
      <c r="G59" s="17"/>
    </row>
    <row r="60" spans="1:16">
      <c r="C60" s="318"/>
      <c r="D60" s="64"/>
      <c r="E60" s="64"/>
      <c r="F60" s="17"/>
      <c r="G60" s="17"/>
    </row>
    <row r="61" spans="1:16">
      <c r="C61" s="318"/>
      <c r="D61" s="64"/>
      <c r="E61" s="64"/>
      <c r="F61" s="17"/>
      <c r="G61" s="17"/>
    </row>
    <row r="62" spans="1:16">
      <c r="C62" s="318"/>
      <c r="D62" s="64"/>
      <c r="E62" s="64"/>
      <c r="F62" s="17"/>
      <c r="G62" s="17"/>
    </row>
  </sheetData>
  <sheetProtection password="C38D" sheet="1" objects="1" scenarios="1"/>
  <mergeCells count="4">
    <mergeCell ref="A46:A53"/>
    <mergeCell ref="B10:C10"/>
    <mergeCell ref="J13:O13"/>
    <mergeCell ref="H53:J53"/>
  </mergeCells>
  <phoneticPr fontId="0" type="noConversion"/>
  <conditionalFormatting sqref="A14">
    <cfRule type="cellIs" dxfId="13" priority="1" stopIfTrue="1" operator="greaterThan">
      <formula>0</formula>
    </cfRule>
  </conditionalFormatting>
  <conditionalFormatting sqref="J45 L48:L49">
    <cfRule type="cellIs" dxfId="12" priority="2" stopIfTrue="1" operator="greaterThan">
      <formula>0</formula>
    </cfRule>
  </conditionalFormatting>
  <dataValidations count="1">
    <dataValidation allowBlank="1" showInputMessage="1" showErrorMessage="1" error="Timme och minut måste skiljas med_x000a_- kolon på pc_x000a_- punkt på Mac" sqref="L5 J14:M44" xr:uid="{00000000-0002-0000-0B00-000000000000}"/>
  </dataValidations>
  <printOptions verticalCentered="1"/>
  <pageMargins left="0.6692913385826772" right="0.47244094488188981" top="0.78740157480314965" bottom="0.62992125984251968" header="0.51181102362204722" footer="0.51181102362204722"/>
  <pageSetup paperSize="9" scale="87" orientation="portrait" blackAndWhite="1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Blad422711">
    <pageSetUpPr fitToPage="1"/>
  </sheetPr>
  <dimension ref="A1:P62"/>
  <sheetViews>
    <sheetView showGridLines="0" showRowColHeaders="0" showZeros="0" topLeftCell="A9" zoomScale="80" workbookViewId="0">
      <pane ySplit="5" topLeftCell="A14" activePane="bottomLeft" state="frozenSplit"/>
      <selection activeCell="P9" sqref="P1:P65536"/>
      <selection pane="bottomLeft" activeCell="J14" sqref="J14"/>
    </sheetView>
  </sheetViews>
  <sheetFormatPr defaultColWidth="11.3828125" defaultRowHeight="12.45"/>
  <cols>
    <col min="1" max="1" width="2.84375" style="269" customWidth="1"/>
    <col min="2" max="2" width="8.84375" style="318" hidden="1" customWidth="1"/>
    <col min="3" max="3" width="4.53515625" style="320" hidden="1" customWidth="1"/>
    <col min="4" max="4" width="11.3828125" style="354" hidden="1" customWidth="1"/>
    <col min="5" max="5" width="8.3828125" style="354" hidden="1" customWidth="1"/>
    <col min="6" max="6" width="7.15234375" style="30" hidden="1" customWidth="1"/>
    <col min="7" max="7" width="1.53515625" style="30" hidden="1" customWidth="1"/>
    <col min="8" max="8" width="4.3828125" style="1" customWidth="1"/>
    <col min="9" max="9" width="7.53515625" style="1" customWidth="1"/>
    <col min="10" max="13" width="8.15234375" style="6" customWidth="1"/>
    <col min="14" max="14" width="11.07421875" style="8" customWidth="1"/>
    <col min="15" max="15" width="36.15234375" style="1" customWidth="1"/>
    <col min="16" max="16" width="11.15234375" style="1" customWidth="1"/>
    <col min="17" max="16384" width="11.3828125" style="1"/>
  </cols>
  <sheetData>
    <row r="1" spans="1:16" s="12" customFormat="1" ht="16" customHeight="1">
      <c r="A1" s="21" t="s">
        <v>30</v>
      </c>
      <c r="B1" s="315"/>
      <c r="C1" s="315"/>
      <c r="D1" s="272"/>
      <c r="E1" s="272"/>
      <c r="F1" s="272"/>
      <c r="G1" s="272"/>
      <c r="P1" s="174" t="s">
        <v>31</v>
      </c>
    </row>
    <row r="2" spans="1:16" s="115" customFormat="1" ht="15" customHeight="1">
      <c r="A2" s="145">
        <f>inst</f>
        <v>0</v>
      </c>
      <c r="B2" s="317"/>
      <c r="C2" s="317"/>
      <c r="D2" s="145"/>
      <c r="E2" s="145"/>
      <c r="F2" s="145"/>
      <c r="G2" s="145"/>
    </row>
    <row r="3" spans="1:16" s="166" customFormat="1" ht="15.75" customHeight="1">
      <c r="A3" s="17"/>
      <c r="B3" s="318"/>
      <c r="C3" s="318"/>
      <c r="D3" s="17"/>
      <c r="E3" s="17"/>
      <c r="F3" s="17"/>
      <c r="G3" s="17"/>
      <c r="L3" s="175"/>
    </row>
    <row r="4" spans="1:16" s="166" customFormat="1" ht="15.75" customHeight="1">
      <c r="A4" s="17"/>
      <c r="B4" s="318"/>
      <c r="C4" s="318"/>
      <c r="D4" s="176"/>
      <c r="E4" s="176"/>
      <c r="F4" s="17"/>
      <c r="G4" s="17"/>
      <c r="H4" s="17"/>
      <c r="I4" s="17"/>
      <c r="J4" s="17"/>
      <c r="K4" s="17"/>
      <c r="L4" s="17"/>
      <c r="M4" s="17"/>
      <c r="N4" s="17"/>
      <c r="O4" s="176" t="s">
        <v>34</v>
      </c>
      <c r="P4" s="32">
        <f>H14</f>
        <v>44012</v>
      </c>
    </row>
    <row r="5" spans="1:16" s="166" customFormat="1" ht="15.75" customHeight="1">
      <c r="A5" s="17"/>
      <c r="B5" s="318"/>
      <c r="C5" s="318"/>
      <c r="D5" s="176"/>
      <c r="E5" s="176"/>
      <c r="F5" s="17"/>
      <c r="G5" s="17"/>
      <c r="H5" s="17"/>
      <c r="I5" s="17"/>
      <c r="J5" s="17"/>
      <c r="K5" s="17"/>
      <c r="L5" s="17"/>
      <c r="M5" s="17"/>
      <c r="N5" s="17"/>
      <c r="O5" s="176" t="s">
        <v>33</v>
      </c>
      <c r="P5" s="33">
        <f>H14</f>
        <v>44012</v>
      </c>
    </row>
    <row r="6" spans="1:16" s="166" customFormat="1" ht="15.75" customHeight="1">
      <c r="A6" s="17"/>
      <c r="B6" s="17"/>
      <c r="C6" s="318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6" ht="12.75" customHeight="1" thickBot="1">
      <c r="H7" s="422" t="s">
        <v>73</v>
      </c>
      <c r="I7" s="423"/>
      <c r="J7" s="423"/>
      <c r="K7" s="423"/>
      <c r="L7" s="423"/>
      <c r="M7" s="423"/>
      <c r="N7" s="422" t="s">
        <v>74</v>
      </c>
      <c r="O7" s="422" t="s">
        <v>72</v>
      </c>
      <c r="P7" s="424"/>
    </row>
    <row r="8" spans="1:16" s="2" customFormat="1" ht="17.25" customHeight="1" thickBot="1">
      <c r="A8" s="269"/>
      <c r="B8" s="318"/>
      <c r="C8" s="321"/>
      <c r="D8" s="453" t="s">
        <v>120</v>
      </c>
      <c r="E8" s="392">
        <f ca="1">INT((LEN(fel_1)+LEN(fel_2)+LEN(fel_3))/60)+COUNTIF(B14:C38,"1")</f>
        <v>3</v>
      </c>
      <c r="F8" s="323"/>
      <c r="G8" s="323"/>
      <c r="H8" s="39" t="str">
        <f>IF(namn&lt;&gt;"","  "&amp;namn,"")</f>
        <v/>
      </c>
      <c r="I8" s="40"/>
      <c r="J8" s="41"/>
      <c r="K8" s="41"/>
      <c r="L8" s="41"/>
      <c r="M8" s="41"/>
      <c r="N8" s="180">
        <f>tjänst</f>
        <v>1</v>
      </c>
      <c r="O8" s="42" t="str">
        <f>IF(p_nr&lt;&gt;"","  "&amp;p_nr,"")</f>
        <v/>
      </c>
      <c r="P8" s="287"/>
    </row>
    <row r="9" spans="1:16" s="2" customFormat="1" ht="3" customHeight="1">
      <c r="A9" s="269"/>
      <c r="B9" s="454"/>
      <c r="C9" s="455"/>
      <c r="D9" s="436"/>
      <c r="E9" s="436"/>
      <c r="F9" s="436"/>
      <c r="G9" s="402"/>
      <c r="H9" s="415"/>
      <c r="I9" s="415"/>
      <c r="J9" s="415"/>
      <c r="K9" s="415"/>
      <c r="L9" s="415"/>
      <c r="M9" s="415"/>
      <c r="N9" s="416"/>
      <c r="O9" s="417"/>
      <c r="P9" s="418"/>
    </row>
    <row r="10" spans="1:16" s="14" customFormat="1" ht="12.75" customHeight="1">
      <c r="A10" s="324"/>
      <c r="B10" s="559" t="s">
        <v>135</v>
      </c>
      <c r="C10" s="560"/>
      <c r="D10" s="437" t="s">
        <v>119</v>
      </c>
      <c r="E10" s="437" t="s">
        <v>121</v>
      </c>
      <c r="F10" s="438" t="s">
        <v>116</v>
      </c>
      <c r="G10" s="390"/>
      <c r="H10" s="409" t="s">
        <v>88</v>
      </c>
      <c r="I10" s="409" t="s">
        <v>39</v>
      </c>
      <c r="J10" s="410" t="s">
        <v>14</v>
      </c>
      <c r="K10" s="410" t="s">
        <v>15</v>
      </c>
      <c r="L10" s="410" t="s">
        <v>15</v>
      </c>
      <c r="M10" s="410" t="s">
        <v>14</v>
      </c>
      <c r="N10" s="411" t="s">
        <v>145</v>
      </c>
      <c r="O10" s="409" t="s">
        <v>76</v>
      </c>
      <c r="P10" s="412" t="s">
        <v>77</v>
      </c>
    </row>
    <row r="11" spans="1:16" s="14" customFormat="1" ht="12.75" customHeight="1">
      <c r="A11" s="324"/>
      <c r="B11" s="439" t="s">
        <v>118</v>
      </c>
      <c r="C11" s="456" t="s">
        <v>101</v>
      </c>
      <c r="D11" s="437" t="s">
        <v>118</v>
      </c>
      <c r="E11" s="437" t="s">
        <v>122</v>
      </c>
      <c r="F11" s="439" t="s">
        <v>117</v>
      </c>
      <c r="G11" s="391"/>
      <c r="H11" s="409" t="s">
        <v>9</v>
      </c>
      <c r="I11" s="409" t="s">
        <v>10</v>
      </c>
      <c r="J11" s="413" t="s">
        <v>16</v>
      </c>
      <c r="K11" s="414" t="s">
        <v>16</v>
      </c>
      <c r="L11" s="414" t="s">
        <v>17</v>
      </c>
      <c r="M11" s="410" t="s">
        <v>18</v>
      </c>
      <c r="N11" s="419" t="str">
        <f ca="1">IF(INFO("system")="mac","tim.minut","tim:minut")</f>
        <v>tim:minut</v>
      </c>
      <c r="O11" s="420" t="s">
        <v>163</v>
      </c>
      <c r="P11" s="421" t="s">
        <v>161</v>
      </c>
    </row>
    <row r="12" spans="1:16" s="2" customFormat="1" ht="3" customHeight="1">
      <c r="A12" s="269"/>
      <c r="B12" s="439"/>
      <c r="C12" s="456"/>
      <c r="D12" s="439"/>
      <c r="E12" s="439"/>
      <c r="F12" s="439"/>
      <c r="G12" s="402"/>
      <c r="H12" s="409"/>
      <c r="I12" s="409"/>
      <c r="J12" s="409"/>
      <c r="K12" s="409"/>
      <c r="L12" s="409"/>
      <c r="M12" s="409"/>
      <c r="N12" s="425"/>
      <c r="O12" s="412"/>
      <c r="P12" s="426"/>
    </row>
    <row r="13" spans="1:16" s="172" customFormat="1" ht="18" customHeight="1" thickBot="1">
      <c r="A13" s="329"/>
      <c r="B13" s="449" t="s">
        <v>10</v>
      </c>
      <c r="C13" s="457" t="s">
        <v>102</v>
      </c>
      <c r="D13" s="448" t="s">
        <v>22</v>
      </c>
      <c r="E13" s="448" t="s">
        <v>123</v>
      </c>
      <c r="F13" s="449" t="s">
        <v>142</v>
      </c>
      <c r="G13" s="401"/>
      <c r="H13" s="167" t="str">
        <f>IF(LEN(J13)&gt;0,"  INFO:","")</f>
        <v xml:space="preserve">  INFO:</v>
      </c>
      <c r="I13" s="168"/>
      <c r="J13" s="544" t="str">
        <f>IF(LEN(fel_1)&gt;0,fel_1,IF(LEN(fel_2)&gt;0,fel_2,IF(LEN(fel_3)&gt;0,fel_3,IF(LEN(fel_4)&gt;0,fel_4,IF(SUMIF(B14:B44,"&gt;0"),semfel_1&amp;TEXT(VLOOKUP(1,B14:P44,7),"D MMM")&amp;semfel_2,IF(COUNTIF(C14:C44,"1"),ändr_fel,""))))))</f>
        <v>Du har glömt ange namn och/eller personnr på fliken "Grunddata"!</v>
      </c>
      <c r="K13" s="545"/>
      <c r="L13" s="545"/>
      <c r="M13" s="545"/>
      <c r="N13" s="545"/>
      <c r="O13" s="545"/>
      <c r="P13" s="171" t="str">
        <f ca="1">IF(E8&gt;1,"Tot. "&amp;E8&amp;" fel","")</f>
        <v>Tot. 3 fel</v>
      </c>
    </row>
    <row r="14" spans="1:16" ht="17.25" customHeight="1">
      <c r="A14" s="334"/>
      <c r="B14" s="479" t="str">
        <f t="shared" ref="B14:B44" ca="1" si="0">IF(AND(F14="ej sem",OR(LEFT(O14,3)="sem",LEFT(O14,4)="sjuk")),1,"")</f>
        <v/>
      </c>
      <c r="C14" s="480" t="str">
        <f t="shared" ref="C14:C44" ca="1" si="1">IF(NOT(ISERROR(E14)),"",IF(N14&lt;&gt;"",IF(ERROR.TYPE(E14)=3,1,),))</f>
        <v/>
      </c>
      <c r="D14" s="388">
        <f t="shared" ref="D14:D44" ca="1" si="2">IF(TODAY()&gt;=H14,IF(AND(LEFT(O14,3)="SEM",F14&lt;&gt;"ej sem"),1,IF(AND(LEFT(O14,4)="sjuk",F14&lt;&gt;"ej sem"),100,0)),0)</f>
        <v>0</v>
      </c>
      <c r="E14" s="381">
        <f t="shared" ref="E14:E44" ca="1" si="3">IF(AND(TODAY()&gt;=H14,F14&gt;0,OR(J14&gt;0,L14&gt;0,N14&lt;&gt;0)),((M14-L14+K14-J14)+IF(ISBLANK(N14),0,IF(LEFT(N14,1)="-",-TIMEVALUE(RIGHT(N14,LEN(N14)-1)),IF(LEFT(N14,1)="+",TIMEVALUE(RIGHT(N14,LEN(N14)-1)),TIMEVALUE(N14)))))*24,IF(OR(D14=1,D14=100),F14*tjänst,0))</f>
        <v>0</v>
      </c>
      <c r="F14" s="183">
        <f ca="1">IF(AND(H14&gt;=startdag,H14&lt;=slutdag),IF(TODAY()&gt;=H14,Normtid!V5,0),0)</f>
        <v>0</v>
      </c>
      <c r="G14" s="403"/>
      <c r="H14" s="375">
        <f>Normtid!U5</f>
        <v>44012</v>
      </c>
      <c r="I14" s="376" t="str">
        <f t="shared" ref="I14:I44" si="4">PROPER(TEXT(WEEKDAY(H14)+1,"DDD"))</f>
        <v>Mån</v>
      </c>
      <c r="J14" s="377"/>
      <c r="K14" s="377"/>
      <c r="L14" s="377"/>
      <c r="M14" s="378"/>
      <c r="N14" s="379"/>
      <c r="O14" s="380" t="str">
        <f>Normtid!$W5</f>
        <v/>
      </c>
      <c r="P14" s="381">
        <f t="shared" ref="P14:P44" ca="1" si="5">IF(E14&lt;&gt;0,E14,0)</f>
        <v>0</v>
      </c>
    </row>
    <row r="15" spans="1:16" ht="15.75" customHeight="1">
      <c r="B15" s="460" t="str">
        <f t="shared" ca="1" si="0"/>
        <v/>
      </c>
      <c r="C15" s="461" t="str">
        <f t="shared" ca="1" si="1"/>
        <v/>
      </c>
      <c r="D15" s="195">
        <f t="shared" ca="1" si="2"/>
        <v>0</v>
      </c>
      <c r="E15" s="196">
        <f t="shared" ca="1" si="3"/>
        <v>0</v>
      </c>
      <c r="F15" s="191">
        <f ca="1">IF(AND(H15&gt;=startdag,H15&lt;=slutdag),IF(TODAY()&gt;=H15,Normtid!V6,0),0)</f>
        <v>0</v>
      </c>
      <c r="G15" s="403"/>
      <c r="H15" s="189">
        <f>Normtid!U6</f>
        <v>44013</v>
      </c>
      <c r="I15" s="190" t="str">
        <f t="shared" si="4"/>
        <v>Tis</v>
      </c>
      <c r="J15" s="192"/>
      <c r="K15" s="192"/>
      <c r="L15" s="192"/>
      <c r="M15" s="202"/>
      <c r="N15" s="193"/>
      <c r="O15" s="194" t="str">
        <f>Normtid!$W6</f>
        <v/>
      </c>
      <c r="P15" s="196">
        <f t="shared" ca="1" si="5"/>
        <v>0</v>
      </c>
    </row>
    <row r="16" spans="1:16" ht="15.75" customHeight="1">
      <c r="B16" s="462" t="str">
        <f t="shared" ca="1" si="0"/>
        <v/>
      </c>
      <c r="C16" s="463" t="str">
        <f t="shared" ca="1" si="1"/>
        <v/>
      </c>
      <c r="D16" s="388">
        <f t="shared" ca="1" si="2"/>
        <v>0</v>
      </c>
      <c r="E16" s="188">
        <f t="shared" ca="1" si="3"/>
        <v>0</v>
      </c>
      <c r="F16" s="183">
        <f ca="1">IF(AND(H16&gt;=startdag,H16&lt;=slutdag),IF(TODAY()&gt;=H16,Normtid!V7,0),0)</f>
        <v>0</v>
      </c>
      <c r="G16" s="403"/>
      <c r="H16" s="181">
        <f>Normtid!U7</f>
        <v>44014</v>
      </c>
      <c r="I16" s="182" t="str">
        <f t="shared" si="4"/>
        <v>Ons</v>
      </c>
      <c r="J16" s="184"/>
      <c r="K16" s="184"/>
      <c r="L16" s="184"/>
      <c r="M16" s="204"/>
      <c r="N16" s="185"/>
      <c r="O16" s="380" t="str">
        <f>Normtid!$W7</f>
        <v/>
      </c>
      <c r="P16" s="188">
        <f t="shared" ca="1" si="5"/>
        <v>0</v>
      </c>
    </row>
    <row r="17" spans="2:16" ht="15.75" customHeight="1">
      <c r="B17" s="460" t="str">
        <f t="shared" ca="1" si="0"/>
        <v/>
      </c>
      <c r="C17" s="461" t="str">
        <f t="shared" ca="1" si="1"/>
        <v/>
      </c>
      <c r="D17" s="195">
        <f t="shared" ca="1" si="2"/>
        <v>0</v>
      </c>
      <c r="E17" s="196">
        <f t="shared" ca="1" si="3"/>
        <v>0</v>
      </c>
      <c r="F17" s="191">
        <f ca="1">IF(AND(H17&gt;=startdag,H17&lt;=slutdag),IF(TODAY()&gt;=H17,Normtid!V8,0),0)</f>
        <v>0</v>
      </c>
      <c r="G17" s="403"/>
      <c r="H17" s="189">
        <f>Normtid!U8</f>
        <v>44015</v>
      </c>
      <c r="I17" s="190" t="str">
        <f t="shared" si="4"/>
        <v>Tor</v>
      </c>
      <c r="J17" s="192"/>
      <c r="K17" s="192"/>
      <c r="L17" s="192"/>
      <c r="M17" s="202"/>
      <c r="N17" s="193"/>
      <c r="O17" s="194" t="str">
        <f>Normtid!$W8</f>
        <v/>
      </c>
      <c r="P17" s="196">
        <f t="shared" ca="1" si="5"/>
        <v>0</v>
      </c>
    </row>
    <row r="18" spans="2:16" ht="15.75" customHeight="1">
      <c r="B18" s="462" t="str">
        <f t="shared" ca="1" si="0"/>
        <v/>
      </c>
      <c r="C18" s="463" t="str">
        <f t="shared" ca="1" si="1"/>
        <v/>
      </c>
      <c r="D18" s="388">
        <f t="shared" ca="1" si="2"/>
        <v>0</v>
      </c>
      <c r="E18" s="188">
        <f t="shared" ca="1" si="3"/>
        <v>0</v>
      </c>
      <c r="F18" s="183">
        <f ca="1">IF(AND(H18&gt;=startdag,H18&lt;=slutdag),IF(TODAY()&gt;=H18,Normtid!V9,0),0)</f>
        <v>0</v>
      </c>
      <c r="G18" s="403"/>
      <c r="H18" s="181">
        <f>Normtid!U9</f>
        <v>44016</v>
      </c>
      <c r="I18" s="182" t="str">
        <f t="shared" si="4"/>
        <v>Fre</v>
      </c>
      <c r="J18" s="184"/>
      <c r="K18" s="184"/>
      <c r="L18" s="184"/>
      <c r="M18" s="204"/>
      <c r="N18" s="185"/>
      <c r="O18" s="186" t="str">
        <f>Normtid!$W9</f>
        <v/>
      </c>
      <c r="P18" s="188">
        <f t="shared" ca="1" si="5"/>
        <v>0</v>
      </c>
    </row>
    <row r="19" spans="2:16" ht="15.75" customHeight="1">
      <c r="B19" s="460" t="str">
        <f t="shared" ca="1" si="0"/>
        <v/>
      </c>
      <c r="C19" s="461" t="str">
        <f t="shared" ca="1" si="1"/>
        <v/>
      </c>
      <c r="D19" s="195">
        <f t="shared" ca="1" si="2"/>
        <v>0</v>
      </c>
      <c r="E19" s="196">
        <f t="shared" ca="1" si="3"/>
        <v>0</v>
      </c>
      <c r="F19" s="191">
        <f ca="1">IF(AND(H19&gt;=startdag,H19&lt;=slutdag),IF(TODAY()&gt;=H19,Normtid!V10,0),0)</f>
        <v>0</v>
      </c>
      <c r="G19" s="403"/>
      <c r="H19" s="189">
        <f>Normtid!U10</f>
        <v>44017</v>
      </c>
      <c r="I19" s="190" t="str">
        <f t="shared" si="4"/>
        <v>Lör</v>
      </c>
      <c r="J19" s="192"/>
      <c r="K19" s="192"/>
      <c r="L19" s="192"/>
      <c r="M19" s="202"/>
      <c r="N19" s="193"/>
      <c r="O19" s="194" t="str">
        <f>Normtid!$W10</f>
        <v/>
      </c>
      <c r="P19" s="196">
        <f t="shared" ca="1" si="5"/>
        <v>0</v>
      </c>
    </row>
    <row r="20" spans="2:16" ht="15.75" customHeight="1">
      <c r="B20" s="462" t="str">
        <f t="shared" ca="1" si="0"/>
        <v/>
      </c>
      <c r="C20" s="463" t="str">
        <f t="shared" ca="1" si="1"/>
        <v/>
      </c>
      <c r="D20" s="388">
        <f t="shared" ca="1" si="2"/>
        <v>0</v>
      </c>
      <c r="E20" s="188">
        <f t="shared" ca="1" si="3"/>
        <v>0</v>
      </c>
      <c r="F20" s="183">
        <f ca="1">IF(AND(H20&gt;=startdag,H20&lt;=slutdag),IF(TODAY()&gt;=H20,Normtid!V11,0),0)</f>
        <v>0</v>
      </c>
      <c r="G20" s="403"/>
      <c r="H20" s="181">
        <f>Normtid!U11</f>
        <v>44018</v>
      </c>
      <c r="I20" s="182" t="str">
        <f t="shared" si="4"/>
        <v>Sön</v>
      </c>
      <c r="J20" s="184"/>
      <c r="K20" s="184"/>
      <c r="L20" s="184"/>
      <c r="M20" s="204"/>
      <c r="N20" s="185"/>
      <c r="O20" s="186" t="str">
        <f>Normtid!$W11</f>
        <v/>
      </c>
      <c r="P20" s="188">
        <f t="shared" ca="1" si="5"/>
        <v>0</v>
      </c>
    </row>
    <row r="21" spans="2:16" ht="15.75" customHeight="1">
      <c r="B21" s="460" t="str">
        <f t="shared" ca="1" si="0"/>
        <v/>
      </c>
      <c r="C21" s="461" t="str">
        <f t="shared" ca="1" si="1"/>
        <v/>
      </c>
      <c r="D21" s="195">
        <f t="shared" ca="1" si="2"/>
        <v>0</v>
      </c>
      <c r="E21" s="196">
        <f t="shared" ca="1" si="3"/>
        <v>0</v>
      </c>
      <c r="F21" s="191">
        <f ca="1">IF(AND(H21&gt;=startdag,H21&lt;=slutdag),IF(TODAY()&gt;=H21,Normtid!V12,0),0)</f>
        <v>0</v>
      </c>
      <c r="G21" s="403"/>
      <c r="H21" s="189">
        <f>Normtid!U12</f>
        <v>44019</v>
      </c>
      <c r="I21" s="190" t="str">
        <f t="shared" si="4"/>
        <v>Mån</v>
      </c>
      <c r="J21" s="192"/>
      <c r="K21" s="192"/>
      <c r="L21" s="192"/>
      <c r="M21" s="202"/>
      <c r="N21" s="193"/>
      <c r="O21" s="194" t="str">
        <f>Normtid!$W12</f>
        <v/>
      </c>
      <c r="P21" s="196">
        <f t="shared" ca="1" si="5"/>
        <v>0</v>
      </c>
    </row>
    <row r="22" spans="2:16" ht="15.75" customHeight="1">
      <c r="B22" s="462" t="str">
        <f t="shared" ca="1" si="0"/>
        <v/>
      </c>
      <c r="C22" s="463" t="str">
        <f t="shared" ca="1" si="1"/>
        <v/>
      </c>
      <c r="D22" s="388">
        <f t="shared" ca="1" si="2"/>
        <v>0</v>
      </c>
      <c r="E22" s="188">
        <f t="shared" ca="1" si="3"/>
        <v>0</v>
      </c>
      <c r="F22" s="183">
        <f ca="1">IF(AND(H22&gt;=startdag,H22&lt;=slutdag),IF(TODAY()&gt;=H22,Normtid!V13,0),0)</f>
        <v>0</v>
      </c>
      <c r="G22" s="403"/>
      <c r="H22" s="181">
        <f>Normtid!U13</f>
        <v>44020</v>
      </c>
      <c r="I22" s="182" t="str">
        <f t="shared" si="4"/>
        <v>Tis</v>
      </c>
      <c r="J22" s="184"/>
      <c r="K22" s="184"/>
      <c r="L22" s="184"/>
      <c r="M22" s="204"/>
      <c r="N22" s="185"/>
      <c r="O22" s="186" t="str">
        <f>Normtid!$W13</f>
        <v/>
      </c>
      <c r="P22" s="188">
        <f t="shared" ca="1" si="5"/>
        <v>0</v>
      </c>
    </row>
    <row r="23" spans="2:16" ht="15.75" customHeight="1">
      <c r="B23" s="460" t="str">
        <f t="shared" ca="1" si="0"/>
        <v/>
      </c>
      <c r="C23" s="461" t="str">
        <f t="shared" ca="1" si="1"/>
        <v/>
      </c>
      <c r="D23" s="195">
        <f t="shared" ca="1" si="2"/>
        <v>0</v>
      </c>
      <c r="E23" s="196">
        <f t="shared" ca="1" si="3"/>
        <v>0</v>
      </c>
      <c r="F23" s="191">
        <f ca="1">IF(AND(H23&gt;=startdag,H23&lt;=slutdag),IF(TODAY()&gt;=H23,Normtid!V14,0),0)</f>
        <v>0</v>
      </c>
      <c r="G23" s="403"/>
      <c r="H23" s="189">
        <f>Normtid!U14</f>
        <v>44021</v>
      </c>
      <c r="I23" s="190" t="str">
        <f t="shared" si="4"/>
        <v>Ons</v>
      </c>
      <c r="J23" s="192"/>
      <c r="K23" s="192"/>
      <c r="L23" s="192"/>
      <c r="M23" s="202"/>
      <c r="N23" s="193"/>
      <c r="O23" s="194" t="str">
        <f>Normtid!$W14</f>
        <v/>
      </c>
      <c r="P23" s="196">
        <f t="shared" ca="1" si="5"/>
        <v>0</v>
      </c>
    </row>
    <row r="24" spans="2:16" ht="15.75" customHeight="1">
      <c r="B24" s="462" t="str">
        <f t="shared" ca="1" si="0"/>
        <v/>
      </c>
      <c r="C24" s="463" t="str">
        <f t="shared" ca="1" si="1"/>
        <v/>
      </c>
      <c r="D24" s="388">
        <f t="shared" ca="1" si="2"/>
        <v>0</v>
      </c>
      <c r="E24" s="188">
        <f t="shared" ca="1" si="3"/>
        <v>0</v>
      </c>
      <c r="F24" s="183">
        <f ca="1">IF(AND(H24&gt;=startdag,H24&lt;=slutdag),IF(TODAY()&gt;=H24,Normtid!V15,0),0)</f>
        <v>0</v>
      </c>
      <c r="G24" s="403"/>
      <c r="H24" s="181">
        <f>Normtid!U15</f>
        <v>44022</v>
      </c>
      <c r="I24" s="182" t="str">
        <f t="shared" si="4"/>
        <v>Tor</v>
      </c>
      <c r="J24" s="184"/>
      <c r="K24" s="184"/>
      <c r="L24" s="184"/>
      <c r="M24" s="204"/>
      <c r="N24" s="185"/>
      <c r="O24" s="186" t="str">
        <f>Normtid!$W15</f>
        <v/>
      </c>
      <c r="P24" s="188">
        <f t="shared" ca="1" si="5"/>
        <v>0</v>
      </c>
    </row>
    <row r="25" spans="2:16" ht="15.75" customHeight="1">
      <c r="B25" s="460" t="str">
        <f t="shared" ca="1" si="0"/>
        <v/>
      </c>
      <c r="C25" s="461" t="str">
        <f t="shared" ca="1" si="1"/>
        <v/>
      </c>
      <c r="D25" s="195">
        <f t="shared" ca="1" si="2"/>
        <v>0</v>
      </c>
      <c r="E25" s="196">
        <f t="shared" ca="1" si="3"/>
        <v>0</v>
      </c>
      <c r="F25" s="191">
        <f ca="1">IF(AND(H25&gt;=startdag,H25&lt;=slutdag),IF(TODAY()&gt;=H25,Normtid!V16,0),0)</f>
        <v>0</v>
      </c>
      <c r="G25" s="403"/>
      <c r="H25" s="189">
        <f>Normtid!U16</f>
        <v>44023</v>
      </c>
      <c r="I25" s="190" t="str">
        <f t="shared" si="4"/>
        <v>Fre</v>
      </c>
      <c r="J25" s="192"/>
      <c r="K25" s="192"/>
      <c r="L25" s="192"/>
      <c r="M25" s="202"/>
      <c r="N25" s="193"/>
      <c r="O25" s="194" t="str">
        <f>Normtid!$W16</f>
        <v/>
      </c>
      <c r="P25" s="196">
        <f t="shared" ca="1" si="5"/>
        <v>0</v>
      </c>
    </row>
    <row r="26" spans="2:16" ht="15.75" customHeight="1">
      <c r="B26" s="462" t="str">
        <f t="shared" ca="1" si="0"/>
        <v/>
      </c>
      <c r="C26" s="463" t="str">
        <f t="shared" ca="1" si="1"/>
        <v/>
      </c>
      <c r="D26" s="388">
        <f t="shared" ca="1" si="2"/>
        <v>0</v>
      </c>
      <c r="E26" s="188">
        <f t="shared" ca="1" si="3"/>
        <v>0</v>
      </c>
      <c r="F26" s="183">
        <f ca="1">IF(AND(H26&gt;=startdag,H26&lt;=slutdag),IF(TODAY()&gt;=H26,Normtid!V17,0),0)</f>
        <v>0</v>
      </c>
      <c r="G26" s="403"/>
      <c r="H26" s="181">
        <f>Normtid!U17</f>
        <v>44024</v>
      </c>
      <c r="I26" s="182" t="str">
        <f t="shared" si="4"/>
        <v>Lör</v>
      </c>
      <c r="J26" s="184"/>
      <c r="K26" s="184"/>
      <c r="L26" s="184"/>
      <c r="M26" s="204"/>
      <c r="N26" s="185"/>
      <c r="O26" s="186" t="str">
        <f>Normtid!$W17</f>
        <v/>
      </c>
      <c r="P26" s="188">
        <f t="shared" ca="1" si="5"/>
        <v>0</v>
      </c>
    </row>
    <row r="27" spans="2:16" ht="15.75" customHeight="1">
      <c r="B27" s="460" t="str">
        <f t="shared" ca="1" si="0"/>
        <v/>
      </c>
      <c r="C27" s="461" t="str">
        <f t="shared" ca="1" si="1"/>
        <v/>
      </c>
      <c r="D27" s="195">
        <f t="shared" ca="1" si="2"/>
        <v>0</v>
      </c>
      <c r="E27" s="196">
        <f t="shared" ca="1" si="3"/>
        <v>0</v>
      </c>
      <c r="F27" s="191">
        <f ca="1">IF(AND(H27&gt;=startdag,H27&lt;=slutdag),IF(TODAY()&gt;=H27,Normtid!V18,0),0)</f>
        <v>0</v>
      </c>
      <c r="G27" s="403"/>
      <c r="H27" s="189">
        <f>Normtid!U18</f>
        <v>44025</v>
      </c>
      <c r="I27" s="190" t="str">
        <f t="shared" si="4"/>
        <v>Sön</v>
      </c>
      <c r="J27" s="192"/>
      <c r="K27" s="192"/>
      <c r="L27" s="192"/>
      <c r="M27" s="202"/>
      <c r="N27" s="193"/>
      <c r="O27" s="194" t="str">
        <f>Normtid!$W18</f>
        <v/>
      </c>
      <c r="P27" s="196">
        <f t="shared" ca="1" si="5"/>
        <v>0</v>
      </c>
    </row>
    <row r="28" spans="2:16" ht="15.75" customHeight="1">
      <c r="B28" s="462" t="str">
        <f t="shared" ca="1" si="0"/>
        <v/>
      </c>
      <c r="C28" s="463" t="str">
        <f t="shared" ca="1" si="1"/>
        <v/>
      </c>
      <c r="D28" s="388">
        <f t="shared" ca="1" si="2"/>
        <v>0</v>
      </c>
      <c r="E28" s="188">
        <f t="shared" ca="1" si="3"/>
        <v>0</v>
      </c>
      <c r="F28" s="183">
        <f ca="1">IF(AND(H28&gt;=startdag,H28&lt;=slutdag),IF(TODAY()&gt;=H28,Normtid!V19,0),0)</f>
        <v>0</v>
      </c>
      <c r="G28" s="403"/>
      <c r="H28" s="181">
        <f>Normtid!U19</f>
        <v>44026</v>
      </c>
      <c r="I28" s="182" t="str">
        <f t="shared" si="4"/>
        <v>Mån</v>
      </c>
      <c r="J28" s="184"/>
      <c r="K28" s="184"/>
      <c r="L28" s="184"/>
      <c r="M28" s="204"/>
      <c r="N28" s="185"/>
      <c r="O28" s="186" t="str">
        <f>Normtid!$W19</f>
        <v/>
      </c>
      <c r="P28" s="188">
        <f t="shared" ca="1" si="5"/>
        <v>0</v>
      </c>
    </row>
    <row r="29" spans="2:16" ht="15.75" customHeight="1">
      <c r="B29" s="460" t="str">
        <f t="shared" ca="1" si="0"/>
        <v/>
      </c>
      <c r="C29" s="461" t="str">
        <f t="shared" ca="1" si="1"/>
        <v/>
      </c>
      <c r="D29" s="195">
        <f t="shared" ca="1" si="2"/>
        <v>0</v>
      </c>
      <c r="E29" s="196">
        <f t="shared" ca="1" si="3"/>
        <v>0</v>
      </c>
      <c r="F29" s="191">
        <f ca="1">IF(AND(H29&gt;=startdag,H29&lt;=slutdag),IF(TODAY()&gt;=H29,Normtid!V20,0),0)</f>
        <v>0</v>
      </c>
      <c r="G29" s="403"/>
      <c r="H29" s="189">
        <f>Normtid!U20</f>
        <v>44027</v>
      </c>
      <c r="I29" s="190" t="str">
        <f t="shared" si="4"/>
        <v>Tis</v>
      </c>
      <c r="J29" s="192"/>
      <c r="K29" s="192"/>
      <c r="L29" s="192"/>
      <c r="M29" s="202"/>
      <c r="N29" s="193"/>
      <c r="O29" s="194" t="str">
        <f>Normtid!$W20</f>
        <v/>
      </c>
      <c r="P29" s="196">
        <f t="shared" ca="1" si="5"/>
        <v>0</v>
      </c>
    </row>
    <row r="30" spans="2:16" ht="15.75" customHeight="1">
      <c r="B30" s="462" t="str">
        <f t="shared" ca="1" si="0"/>
        <v/>
      </c>
      <c r="C30" s="463" t="str">
        <f t="shared" ca="1" si="1"/>
        <v/>
      </c>
      <c r="D30" s="388">
        <f t="shared" ca="1" si="2"/>
        <v>0</v>
      </c>
      <c r="E30" s="188">
        <f t="shared" ca="1" si="3"/>
        <v>0</v>
      </c>
      <c r="F30" s="183">
        <f ca="1">IF(AND(H30&gt;=startdag,H30&lt;=slutdag),IF(TODAY()&gt;=H30,Normtid!V21,0),0)</f>
        <v>0</v>
      </c>
      <c r="G30" s="403"/>
      <c r="H30" s="181">
        <f>Normtid!U21</f>
        <v>44028</v>
      </c>
      <c r="I30" s="182" t="str">
        <f t="shared" si="4"/>
        <v>Ons</v>
      </c>
      <c r="J30" s="184"/>
      <c r="K30" s="184"/>
      <c r="L30" s="184"/>
      <c r="M30" s="204"/>
      <c r="N30" s="185"/>
      <c r="O30" s="186" t="str">
        <f>Normtid!$W21</f>
        <v/>
      </c>
      <c r="P30" s="188">
        <f t="shared" ca="1" si="5"/>
        <v>0</v>
      </c>
    </row>
    <row r="31" spans="2:16" ht="15.75" customHeight="1">
      <c r="B31" s="460" t="str">
        <f t="shared" ca="1" si="0"/>
        <v/>
      </c>
      <c r="C31" s="461" t="str">
        <f t="shared" ca="1" si="1"/>
        <v/>
      </c>
      <c r="D31" s="195">
        <f t="shared" ca="1" si="2"/>
        <v>0</v>
      </c>
      <c r="E31" s="196">
        <f t="shared" ca="1" si="3"/>
        <v>0</v>
      </c>
      <c r="F31" s="191">
        <f ca="1">IF(AND(H31&gt;=startdag,H31&lt;=slutdag),IF(TODAY()&gt;=H31,Normtid!V22,0),0)</f>
        <v>0</v>
      </c>
      <c r="G31" s="403"/>
      <c r="H31" s="189">
        <f>Normtid!U22</f>
        <v>44029</v>
      </c>
      <c r="I31" s="190" t="str">
        <f t="shared" si="4"/>
        <v>Tor</v>
      </c>
      <c r="J31" s="192"/>
      <c r="K31" s="192"/>
      <c r="L31" s="192"/>
      <c r="M31" s="202"/>
      <c r="N31" s="193"/>
      <c r="O31" s="194" t="str">
        <f>Normtid!$W22</f>
        <v/>
      </c>
      <c r="P31" s="196">
        <f t="shared" ca="1" si="5"/>
        <v>0</v>
      </c>
    </row>
    <row r="32" spans="2:16" ht="15.75" customHeight="1">
      <c r="B32" s="462" t="str">
        <f t="shared" ca="1" si="0"/>
        <v/>
      </c>
      <c r="C32" s="463" t="str">
        <f t="shared" ca="1" si="1"/>
        <v/>
      </c>
      <c r="D32" s="388">
        <f t="shared" ca="1" si="2"/>
        <v>0</v>
      </c>
      <c r="E32" s="188">
        <f t="shared" ca="1" si="3"/>
        <v>0</v>
      </c>
      <c r="F32" s="183">
        <f ca="1">IF(AND(H32&gt;=startdag,H32&lt;=slutdag),IF(TODAY()&gt;=H32,Normtid!V23,0),0)</f>
        <v>0</v>
      </c>
      <c r="G32" s="403"/>
      <c r="H32" s="181">
        <f>Normtid!U23</f>
        <v>44030</v>
      </c>
      <c r="I32" s="182" t="str">
        <f t="shared" si="4"/>
        <v>Fre</v>
      </c>
      <c r="J32" s="184"/>
      <c r="K32" s="184"/>
      <c r="L32" s="184"/>
      <c r="M32" s="204"/>
      <c r="N32" s="185"/>
      <c r="O32" s="186" t="str">
        <f>Normtid!$W23</f>
        <v/>
      </c>
      <c r="P32" s="188">
        <f t="shared" ca="1" si="5"/>
        <v>0</v>
      </c>
    </row>
    <row r="33" spans="1:16" ht="15.75" customHeight="1">
      <c r="B33" s="460" t="str">
        <f t="shared" ca="1" si="0"/>
        <v/>
      </c>
      <c r="C33" s="461" t="str">
        <f t="shared" ca="1" si="1"/>
        <v/>
      </c>
      <c r="D33" s="195">
        <f t="shared" ca="1" si="2"/>
        <v>0</v>
      </c>
      <c r="E33" s="196">
        <f t="shared" ca="1" si="3"/>
        <v>0</v>
      </c>
      <c r="F33" s="191">
        <f ca="1">IF(AND(H33&gt;=startdag,H33&lt;=slutdag),IF(TODAY()&gt;=H33,Normtid!V24,0),0)</f>
        <v>0</v>
      </c>
      <c r="G33" s="403"/>
      <c r="H33" s="189">
        <f>Normtid!U24</f>
        <v>44031</v>
      </c>
      <c r="I33" s="190" t="str">
        <f t="shared" si="4"/>
        <v>Lör</v>
      </c>
      <c r="J33" s="192"/>
      <c r="K33" s="192"/>
      <c r="L33" s="192"/>
      <c r="M33" s="202"/>
      <c r="N33" s="193"/>
      <c r="O33" s="194" t="str">
        <f>Normtid!$W24</f>
        <v/>
      </c>
      <c r="P33" s="196">
        <f t="shared" ca="1" si="5"/>
        <v>0</v>
      </c>
    </row>
    <row r="34" spans="1:16" ht="15.75" customHeight="1">
      <c r="B34" s="462" t="str">
        <f t="shared" ca="1" si="0"/>
        <v/>
      </c>
      <c r="C34" s="463" t="str">
        <f t="shared" ca="1" si="1"/>
        <v/>
      </c>
      <c r="D34" s="388">
        <f t="shared" ca="1" si="2"/>
        <v>0</v>
      </c>
      <c r="E34" s="188">
        <f t="shared" ca="1" si="3"/>
        <v>0</v>
      </c>
      <c r="F34" s="183">
        <f ca="1">IF(AND(H34&gt;=startdag,H34&lt;=slutdag),IF(TODAY()&gt;=H34,Normtid!V25,0),0)</f>
        <v>0</v>
      </c>
      <c r="G34" s="403"/>
      <c r="H34" s="181">
        <f>Normtid!U25</f>
        <v>44032</v>
      </c>
      <c r="I34" s="182" t="str">
        <f t="shared" si="4"/>
        <v>Sön</v>
      </c>
      <c r="J34" s="184"/>
      <c r="K34" s="184"/>
      <c r="L34" s="184"/>
      <c r="M34" s="204"/>
      <c r="N34" s="185"/>
      <c r="O34" s="186" t="str">
        <f>Normtid!$W25</f>
        <v/>
      </c>
      <c r="P34" s="188">
        <f t="shared" ca="1" si="5"/>
        <v>0</v>
      </c>
    </row>
    <row r="35" spans="1:16" ht="15.75" customHeight="1">
      <c r="B35" s="460" t="str">
        <f t="shared" ca="1" si="0"/>
        <v/>
      </c>
      <c r="C35" s="461" t="str">
        <f t="shared" ca="1" si="1"/>
        <v/>
      </c>
      <c r="D35" s="195">
        <f t="shared" ca="1" si="2"/>
        <v>0</v>
      </c>
      <c r="E35" s="196">
        <f t="shared" ca="1" si="3"/>
        <v>0</v>
      </c>
      <c r="F35" s="191">
        <f ca="1">IF(AND(H35&gt;=startdag,H35&lt;=slutdag),IF(TODAY()&gt;=H35,Normtid!V26,0),0)</f>
        <v>0</v>
      </c>
      <c r="G35" s="403"/>
      <c r="H35" s="189">
        <f>Normtid!U26</f>
        <v>44033</v>
      </c>
      <c r="I35" s="190" t="str">
        <f t="shared" si="4"/>
        <v>Mån</v>
      </c>
      <c r="J35" s="192"/>
      <c r="K35" s="192"/>
      <c r="L35" s="192"/>
      <c r="M35" s="202"/>
      <c r="N35" s="193"/>
      <c r="O35" s="194" t="str">
        <f>Normtid!$W26</f>
        <v/>
      </c>
      <c r="P35" s="196">
        <f t="shared" ca="1" si="5"/>
        <v>0</v>
      </c>
    </row>
    <row r="36" spans="1:16" ht="15.75" customHeight="1">
      <c r="B36" s="462" t="str">
        <f t="shared" ca="1" si="0"/>
        <v/>
      </c>
      <c r="C36" s="463" t="str">
        <f t="shared" ca="1" si="1"/>
        <v/>
      </c>
      <c r="D36" s="388">
        <f t="shared" ca="1" si="2"/>
        <v>0</v>
      </c>
      <c r="E36" s="188">
        <f t="shared" ca="1" si="3"/>
        <v>0</v>
      </c>
      <c r="F36" s="183">
        <f ca="1">IF(AND(H36&gt;=startdag,H36&lt;=slutdag),IF(TODAY()&gt;=H36,Normtid!V27,0),0)</f>
        <v>0</v>
      </c>
      <c r="G36" s="403"/>
      <c r="H36" s="181">
        <f>Normtid!U27</f>
        <v>44034</v>
      </c>
      <c r="I36" s="182" t="str">
        <f t="shared" si="4"/>
        <v>Tis</v>
      </c>
      <c r="J36" s="184"/>
      <c r="K36" s="184"/>
      <c r="L36" s="184"/>
      <c r="M36" s="204"/>
      <c r="N36" s="185"/>
      <c r="O36" s="186" t="str">
        <f>Normtid!$W27</f>
        <v/>
      </c>
      <c r="P36" s="188">
        <f t="shared" ca="1" si="5"/>
        <v>0</v>
      </c>
    </row>
    <row r="37" spans="1:16" ht="15.75" customHeight="1">
      <c r="B37" s="460" t="str">
        <f t="shared" ca="1" si="0"/>
        <v/>
      </c>
      <c r="C37" s="461" t="str">
        <f t="shared" ca="1" si="1"/>
        <v/>
      </c>
      <c r="D37" s="195">
        <f t="shared" ca="1" si="2"/>
        <v>0</v>
      </c>
      <c r="E37" s="196">
        <f t="shared" ca="1" si="3"/>
        <v>0</v>
      </c>
      <c r="F37" s="191">
        <f ca="1">IF(AND(H37&gt;=startdag,H37&lt;=slutdag),IF(TODAY()&gt;=H37,Normtid!V28,0),0)</f>
        <v>0</v>
      </c>
      <c r="G37" s="403"/>
      <c r="H37" s="189">
        <f>Normtid!U28</f>
        <v>44035</v>
      </c>
      <c r="I37" s="190" t="str">
        <f t="shared" si="4"/>
        <v>Ons</v>
      </c>
      <c r="J37" s="192"/>
      <c r="K37" s="192"/>
      <c r="L37" s="192"/>
      <c r="M37" s="202"/>
      <c r="N37" s="193"/>
      <c r="O37" s="194" t="str">
        <f>Normtid!$W28</f>
        <v/>
      </c>
      <c r="P37" s="196">
        <f t="shared" ca="1" si="5"/>
        <v>0</v>
      </c>
    </row>
    <row r="38" spans="1:16" ht="15.75" customHeight="1">
      <c r="B38" s="462" t="str">
        <f t="shared" ca="1" si="0"/>
        <v/>
      </c>
      <c r="C38" s="463" t="str">
        <f t="shared" ca="1" si="1"/>
        <v/>
      </c>
      <c r="D38" s="388">
        <f t="shared" ca="1" si="2"/>
        <v>0</v>
      </c>
      <c r="E38" s="188">
        <f t="shared" ca="1" si="3"/>
        <v>0</v>
      </c>
      <c r="F38" s="183">
        <f ca="1">IF(AND(H38&gt;=startdag,H38&lt;=slutdag),IF(TODAY()&gt;=H38,Normtid!V29,0),0)</f>
        <v>0</v>
      </c>
      <c r="G38" s="403"/>
      <c r="H38" s="181">
        <f>Normtid!U29</f>
        <v>44036</v>
      </c>
      <c r="I38" s="182" t="str">
        <f t="shared" si="4"/>
        <v>Tor</v>
      </c>
      <c r="J38" s="184"/>
      <c r="K38" s="184"/>
      <c r="L38" s="184"/>
      <c r="M38" s="204"/>
      <c r="N38" s="185"/>
      <c r="O38" s="186" t="str">
        <f>Normtid!$W29</f>
        <v/>
      </c>
      <c r="P38" s="188">
        <f t="shared" ca="1" si="5"/>
        <v>0</v>
      </c>
    </row>
    <row r="39" spans="1:16" ht="15.75" customHeight="1">
      <c r="B39" s="460" t="str">
        <f t="shared" ca="1" si="0"/>
        <v/>
      </c>
      <c r="C39" s="461" t="str">
        <f t="shared" ca="1" si="1"/>
        <v/>
      </c>
      <c r="D39" s="195">
        <f t="shared" ca="1" si="2"/>
        <v>0</v>
      </c>
      <c r="E39" s="196">
        <f t="shared" ca="1" si="3"/>
        <v>0</v>
      </c>
      <c r="F39" s="191">
        <f ca="1">IF(AND(H39&gt;=startdag,H39&lt;=slutdag),IF(TODAY()&gt;=H39,Normtid!V30,0),0)</f>
        <v>0</v>
      </c>
      <c r="G39" s="403"/>
      <c r="H39" s="189">
        <f>Normtid!U30</f>
        <v>44037</v>
      </c>
      <c r="I39" s="190" t="str">
        <f t="shared" si="4"/>
        <v>Fre</v>
      </c>
      <c r="J39" s="192"/>
      <c r="K39" s="192"/>
      <c r="L39" s="192"/>
      <c r="M39" s="202"/>
      <c r="N39" s="193"/>
      <c r="O39" s="194" t="str">
        <f>Normtid!$W30</f>
        <v/>
      </c>
      <c r="P39" s="196">
        <f t="shared" ca="1" si="5"/>
        <v>0</v>
      </c>
    </row>
    <row r="40" spans="1:16" ht="15.75" customHeight="1">
      <c r="B40" s="462" t="str">
        <f t="shared" ca="1" si="0"/>
        <v/>
      </c>
      <c r="C40" s="463" t="str">
        <f t="shared" ca="1" si="1"/>
        <v/>
      </c>
      <c r="D40" s="388">
        <f t="shared" ca="1" si="2"/>
        <v>0</v>
      </c>
      <c r="E40" s="188">
        <f t="shared" ca="1" si="3"/>
        <v>0</v>
      </c>
      <c r="F40" s="183">
        <f ca="1">IF(AND(H40&gt;=startdag,H40&lt;=slutdag),IF(TODAY()&gt;=H40,Normtid!V31,0),0)</f>
        <v>0</v>
      </c>
      <c r="G40" s="403"/>
      <c r="H40" s="181">
        <f>Normtid!U31</f>
        <v>44038</v>
      </c>
      <c r="I40" s="182" t="str">
        <f t="shared" si="4"/>
        <v>Lör</v>
      </c>
      <c r="J40" s="184"/>
      <c r="K40" s="184"/>
      <c r="L40" s="184"/>
      <c r="M40" s="204"/>
      <c r="N40" s="185"/>
      <c r="O40" s="186" t="str">
        <f>Normtid!$W31</f>
        <v/>
      </c>
      <c r="P40" s="188">
        <f t="shared" ca="1" si="5"/>
        <v>0</v>
      </c>
    </row>
    <row r="41" spans="1:16" ht="15.75" customHeight="1">
      <c r="B41" s="460" t="str">
        <f t="shared" ca="1" si="0"/>
        <v/>
      </c>
      <c r="C41" s="461" t="str">
        <f t="shared" ca="1" si="1"/>
        <v/>
      </c>
      <c r="D41" s="195">
        <f t="shared" ca="1" si="2"/>
        <v>0</v>
      </c>
      <c r="E41" s="196">
        <f t="shared" ca="1" si="3"/>
        <v>0</v>
      </c>
      <c r="F41" s="191">
        <f ca="1">IF(AND(H41&gt;=startdag,H41&lt;=slutdag),IF(TODAY()&gt;=H41,Normtid!V32,0),0)</f>
        <v>0</v>
      </c>
      <c r="G41" s="403"/>
      <c r="H41" s="189">
        <f>Normtid!U32</f>
        <v>44039</v>
      </c>
      <c r="I41" s="190" t="str">
        <f t="shared" si="4"/>
        <v>Sön</v>
      </c>
      <c r="J41" s="192"/>
      <c r="K41" s="192"/>
      <c r="L41" s="192"/>
      <c r="M41" s="202"/>
      <c r="N41" s="193"/>
      <c r="O41" s="194" t="str">
        <f>Normtid!$W32</f>
        <v/>
      </c>
      <c r="P41" s="196">
        <f t="shared" ca="1" si="5"/>
        <v>0</v>
      </c>
    </row>
    <row r="42" spans="1:16" ht="15.75" customHeight="1">
      <c r="B42" s="462" t="str">
        <f t="shared" ca="1" si="0"/>
        <v/>
      </c>
      <c r="C42" s="463" t="str">
        <f t="shared" ca="1" si="1"/>
        <v/>
      </c>
      <c r="D42" s="388">
        <f t="shared" ca="1" si="2"/>
        <v>0</v>
      </c>
      <c r="E42" s="188">
        <f t="shared" ca="1" si="3"/>
        <v>0</v>
      </c>
      <c r="F42" s="183">
        <f ca="1">IF(AND(H42&gt;=startdag,H42&lt;=slutdag),IF(TODAY()&gt;=H42,Normtid!V33,0),0)</f>
        <v>0</v>
      </c>
      <c r="G42" s="403"/>
      <c r="H42" s="181">
        <f>Normtid!U33</f>
        <v>44040</v>
      </c>
      <c r="I42" s="182" t="str">
        <f t="shared" si="4"/>
        <v>Mån</v>
      </c>
      <c r="J42" s="184"/>
      <c r="K42" s="184"/>
      <c r="L42" s="184"/>
      <c r="M42" s="204"/>
      <c r="N42" s="185"/>
      <c r="O42" s="186" t="str">
        <f>Normtid!$W33</f>
        <v/>
      </c>
      <c r="P42" s="188">
        <f t="shared" ca="1" si="5"/>
        <v>0</v>
      </c>
    </row>
    <row r="43" spans="1:16" ht="15.75" customHeight="1">
      <c r="B43" s="460" t="str">
        <f t="shared" ca="1" si="0"/>
        <v/>
      </c>
      <c r="C43" s="461" t="str">
        <f t="shared" ca="1" si="1"/>
        <v/>
      </c>
      <c r="D43" s="195">
        <f t="shared" ca="1" si="2"/>
        <v>0</v>
      </c>
      <c r="E43" s="196">
        <f t="shared" ca="1" si="3"/>
        <v>0</v>
      </c>
      <c r="F43" s="191">
        <f ca="1">IF(AND(H43&gt;=startdag,H43&lt;=slutdag),IF(TODAY()&gt;=H43,Normtid!V34,0),0)</f>
        <v>0</v>
      </c>
      <c r="G43" s="403"/>
      <c r="H43" s="189">
        <f>Normtid!U34</f>
        <v>44041</v>
      </c>
      <c r="I43" s="190" t="str">
        <f t="shared" si="4"/>
        <v>Tis</v>
      </c>
      <c r="J43" s="192"/>
      <c r="K43" s="192"/>
      <c r="L43" s="192"/>
      <c r="M43" s="202"/>
      <c r="N43" s="193"/>
      <c r="O43" s="194" t="str">
        <f>Normtid!$W34</f>
        <v/>
      </c>
      <c r="P43" s="196">
        <f ca="1">IF(E43&lt;&gt;0,E43,0)</f>
        <v>0</v>
      </c>
    </row>
    <row r="44" spans="1:16" ht="15.75" customHeight="1">
      <c r="B44" s="464" t="str">
        <f t="shared" ca="1" si="0"/>
        <v/>
      </c>
      <c r="C44" s="465" t="str">
        <f t="shared" ca="1" si="1"/>
        <v/>
      </c>
      <c r="D44" s="389">
        <f t="shared" ca="1" si="2"/>
        <v>0</v>
      </c>
      <c r="E44" s="91">
        <f t="shared" ca="1" si="3"/>
        <v>0</v>
      </c>
      <c r="F44" s="220">
        <f ca="1">IF(AND(H44&gt;=startdag,H44&lt;=slutdag),IF(TODAY()&gt;=H44,Normtid!V35,0),0)</f>
        <v>0</v>
      </c>
      <c r="G44" s="403"/>
      <c r="H44" s="45">
        <f>Normtid!U35</f>
        <v>44042</v>
      </c>
      <c r="I44" s="46" t="str">
        <f t="shared" si="4"/>
        <v>Ons</v>
      </c>
      <c r="J44" s="48"/>
      <c r="K44" s="48"/>
      <c r="L44" s="48"/>
      <c r="M44" s="49"/>
      <c r="N44" s="101"/>
      <c r="O44" s="102" t="str">
        <f>Normtid!$W35</f>
        <v/>
      </c>
      <c r="P44" s="91">
        <f t="shared" ca="1" si="5"/>
        <v>0</v>
      </c>
    </row>
    <row r="45" spans="1:16" ht="15.75" customHeight="1" thickBot="1">
      <c r="A45" s="30"/>
      <c r="B45" s="17"/>
      <c r="C45" s="336"/>
      <c r="D45" s="80"/>
      <c r="E45" s="80"/>
      <c r="F45" s="80"/>
      <c r="G45" s="80"/>
      <c r="H45" s="80"/>
      <c r="I45" s="80"/>
      <c r="J45" s="81"/>
      <c r="K45" s="80"/>
      <c r="L45" s="80"/>
      <c r="M45" s="80"/>
      <c r="N45" s="80"/>
      <c r="O45" s="80"/>
      <c r="P45" s="80"/>
    </row>
    <row r="46" spans="1:16" ht="12.9">
      <c r="A46" s="548" t="str">
        <f>Felinfo!H10</f>
        <v>Flex 99:03C • huk-51 • ©</v>
      </c>
      <c r="C46" s="314"/>
      <c r="D46" s="64"/>
      <c r="E46" s="64"/>
      <c r="F46" s="17"/>
      <c r="G46" s="17"/>
      <c r="H46" s="51" t="str">
        <f ca="1">"Summa arbetad tid"&amp;IF(MONTH(H14)=MONTH(TODAY())," t o m ""i dag""","")</f>
        <v>Summa arbetad tid</v>
      </c>
      <c r="I46" s="52"/>
      <c r="J46" s="53"/>
      <c r="K46" s="53"/>
      <c r="L46" s="53"/>
      <c r="M46" s="53"/>
      <c r="N46" s="54"/>
      <c r="O46" s="52"/>
      <c r="P46" s="197">
        <f ca="1">IF(TODAY()&gt;=H14,SUMIF(P14:P44,"&gt;0"),0)</f>
        <v>0</v>
      </c>
    </row>
    <row r="47" spans="1:16" ht="14.25" customHeight="1">
      <c r="A47" s="555"/>
      <c r="C47" s="314"/>
      <c r="D47" s="60"/>
      <c r="E47" s="60"/>
      <c r="F47" s="17"/>
      <c r="G47" s="17"/>
      <c r="H47" s="56" t="str">
        <f ca="1">IF(MONTH(H14)=MONTH(TODAY()),"Månadens normalarbetstid t o m idag","Normalarbetstid för månaden")&amp;IF(AND(MONTH(TODAY())&gt;=MONTH(H14),N8&lt;&gt;1)," (normtid "&amp;SUM(F14:F44)&amp;" tim * tjänsteomfattning "&amp;TEXT(N8*1000,"## %)"),"")</f>
        <v>Normalarbetstid för månaden</v>
      </c>
      <c r="I47" s="17"/>
      <c r="J47" s="57"/>
      <c r="K47" s="57"/>
      <c r="L47" s="57"/>
      <c r="M47" s="57"/>
      <c r="N47" s="58"/>
      <c r="O47" s="59"/>
      <c r="P47" s="198">
        <f ca="1">IF(AND(TODAY()&gt;=H14,MONTH(H14)&gt;=MONTH(Grunddata!C22)),SUM(F14:F44)*N8,0)</f>
        <v>0</v>
      </c>
    </row>
    <row r="48" spans="1:16" ht="14.25" customHeight="1">
      <c r="A48" s="555"/>
      <c r="C48" s="314"/>
      <c r="D48" s="64"/>
      <c r="E48" s="64"/>
      <c r="F48" s="17"/>
      <c r="G48" s="17"/>
      <c r="H48" s="56" t="s">
        <v>35</v>
      </c>
      <c r="I48" s="17"/>
      <c r="J48" s="57"/>
      <c r="K48" s="61"/>
      <c r="L48" s="502"/>
      <c r="M48" s="105"/>
      <c r="N48"/>
      <c r="P48" s="308">
        <f ca="1">IF(TODAY()&gt;=H14,IF(AND(MONTH(H14)=MONTH(Grunddata!C22),flyttsaldo&lt;&gt;0),flyttsaldo,JUNI!P50),0)</f>
        <v>0</v>
      </c>
    </row>
    <row r="49" spans="1:16" ht="14.25" customHeight="1">
      <c r="A49" s="555"/>
      <c r="C49" s="314"/>
      <c r="D49" s="64"/>
      <c r="E49" s="64"/>
      <c r="F49" s="17"/>
      <c r="G49" s="17"/>
      <c r="H49" s="56" t="str">
        <f>IF(tjänst=1,"Över","Mer")&amp;"tidstimmar (ersättning utbetalad med "&amp;TEXT(H14,"MMMM")&amp;"lönen)"</f>
        <v>Övertidstimmar (ersättning utbetalad med julilönen)</v>
      </c>
      <c r="I49" s="17"/>
      <c r="J49" s="57"/>
      <c r="K49" s="61"/>
      <c r="L49" s="62"/>
      <c r="M49" s="63"/>
      <c r="N49" s="63"/>
      <c r="O49" s="63"/>
      <c r="P49" s="372"/>
    </row>
    <row r="50" spans="1:16" ht="14.25" customHeight="1">
      <c r="A50" s="555"/>
      <c r="C50" s="314"/>
      <c r="D50" s="64"/>
      <c r="E50" s="64"/>
      <c r="F50" s="17"/>
      <c r="G50" s="17"/>
      <c r="H50" s="65" t="str">
        <f ca="1">IF(MONTH(H14)=MONTH(TODAY()),"Dagens saldo +/-","Nytt saldo +/-")</f>
        <v>Nytt saldo +/-</v>
      </c>
      <c r="I50" s="66"/>
      <c r="J50" s="67"/>
      <c r="K50" s="68"/>
      <c r="L50" s="69"/>
      <c r="M50" s="69"/>
      <c r="N50" s="69"/>
      <c r="O50" s="69"/>
      <c r="P50" s="469">
        <f ca="1">IF(TODAY()&gt;=H14,P46-P47+P48-ABS(P49),0)</f>
        <v>0</v>
      </c>
    </row>
    <row r="51" spans="1:16" ht="14.25" customHeight="1" thickBot="1">
      <c r="A51" s="555"/>
      <c r="C51" s="314"/>
      <c r="D51" s="64"/>
      <c r="E51" s="64"/>
      <c r="F51" s="17"/>
      <c r="G51" s="17"/>
      <c r="H51" s="71" t="s">
        <v>29</v>
      </c>
      <c r="I51" s="72"/>
      <c r="J51" s="73"/>
      <c r="K51" s="74">
        <f ca="1">IF(L51&gt;0,"månadens: ",)</f>
        <v>0</v>
      </c>
      <c r="L51" s="75">
        <f ca="1">MOD(SUM(D14:D44),100)</f>
        <v>0</v>
      </c>
      <c r="M51" s="76">
        <f ca="1">IF(N51&gt;0,"årets: ",)</f>
        <v>0</v>
      </c>
      <c r="N51" s="75">
        <f ca="1">'2024'!K20</f>
        <v>0</v>
      </c>
      <c r="O51" s="77" t="str">
        <f ca="1">"  kvarstående:  "&amp;'2024'!$L20</f>
        <v xml:space="preserve">  kvarstående:  0</v>
      </c>
      <c r="P51" s="79"/>
    </row>
    <row r="52" spans="1:16" ht="12" customHeight="1">
      <c r="A52" s="555"/>
      <c r="C52" s="314"/>
      <c r="F52" s="466"/>
      <c r="G52" s="466"/>
      <c r="H52" s="427" t="s">
        <v>75</v>
      </c>
      <c r="I52" s="428"/>
      <c r="J52" s="429"/>
      <c r="K52" s="430" t="s">
        <v>27</v>
      </c>
      <c r="L52" s="431"/>
      <c r="M52" s="431"/>
      <c r="N52" s="432"/>
      <c r="O52" s="433"/>
      <c r="P52" s="434"/>
    </row>
    <row r="53" spans="1:16" ht="27.75" customHeight="1" thickBot="1">
      <c r="A53" s="555"/>
      <c r="F53" s="467"/>
      <c r="G53" s="467"/>
      <c r="H53" s="561"/>
      <c r="I53" s="566"/>
      <c r="J53" s="567"/>
      <c r="K53" s="7"/>
      <c r="L53" s="7"/>
      <c r="M53" s="7"/>
      <c r="N53" s="9"/>
      <c r="O53" s="3"/>
      <c r="P53" s="4"/>
    </row>
    <row r="54" spans="1:16" ht="12" customHeight="1" thickBot="1">
      <c r="A54" s="360"/>
    </row>
    <row r="55" spans="1:16" ht="12" customHeight="1">
      <c r="A55" s="360"/>
      <c r="F55" s="125"/>
      <c r="G55" s="125"/>
      <c r="H55" s="5" t="s">
        <v>19</v>
      </c>
      <c r="I55" s="5"/>
      <c r="J55" s="427" t="s">
        <v>75</v>
      </c>
      <c r="K55" s="429"/>
      <c r="L55" s="430" t="s">
        <v>26</v>
      </c>
      <c r="M55" s="431"/>
      <c r="N55" s="432"/>
      <c r="O55" s="433"/>
      <c r="P55" s="435"/>
    </row>
    <row r="56" spans="1:16" ht="27.75" customHeight="1" thickBot="1">
      <c r="A56" s="360"/>
      <c r="F56" s="125"/>
      <c r="G56" s="125"/>
      <c r="J56" s="11"/>
      <c r="K56" s="10"/>
      <c r="L56" s="7"/>
      <c r="M56" s="7"/>
      <c r="N56" s="9"/>
      <c r="O56" s="3"/>
      <c r="P56" s="4"/>
    </row>
    <row r="59" spans="1:16">
      <c r="C59" s="318"/>
      <c r="D59" s="64"/>
      <c r="E59" s="64"/>
      <c r="F59" s="17"/>
      <c r="G59" s="17"/>
    </row>
    <row r="60" spans="1:16">
      <c r="C60" s="318"/>
      <c r="D60" s="64"/>
      <c r="E60" s="64"/>
      <c r="F60" s="17"/>
      <c r="G60" s="17"/>
    </row>
    <row r="61" spans="1:16">
      <c r="C61" s="318"/>
      <c r="D61" s="64"/>
      <c r="E61" s="64"/>
      <c r="F61" s="17"/>
      <c r="G61" s="17"/>
    </row>
    <row r="62" spans="1:16">
      <c r="C62" s="318"/>
      <c r="D62" s="64"/>
      <c r="E62" s="64"/>
      <c r="F62" s="17"/>
      <c r="G62" s="17"/>
    </row>
  </sheetData>
  <sheetProtection password="C38D" sheet="1" objects="1" scenarios="1"/>
  <mergeCells count="4">
    <mergeCell ref="A46:A53"/>
    <mergeCell ref="B10:C10"/>
    <mergeCell ref="J13:O13"/>
    <mergeCell ref="H53:J53"/>
  </mergeCells>
  <phoneticPr fontId="0" type="noConversion"/>
  <conditionalFormatting sqref="A14">
    <cfRule type="cellIs" dxfId="11" priority="1" stopIfTrue="1" operator="greaterThan">
      <formula>0</formula>
    </cfRule>
  </conditionalFormatting>
  <conditionalFormatting sqref="J45 L49">
    <cfRule type="cellIs" dxfId="10" priority="2" stopIfTrue="1" operator="greaterThan">
      <formula>0</formula>
    </cfRule>
  </conditionalFormatting>
  <dataValidations count="1">
    <dataValidation allowBlank="1" showInputMessage="1" showErrorMessage="1" error="Timme och minut måste skiljas med_x000a_- kolon på pc_x000a_- punkt på Mac" sqref="L5 J14:M44" xr:uid="{00000000-0002-0000-0C00-000000000000}"/>
  </dataValidations>
  <printOptions verticalCentered="1"/>
  <pageMargins left="0.6692913385826772" right="0.47244094488188981" top="0.78740157480314965" bottom="0.62992125984251968" header="0.51181102362204722" footer="0.51181102362204722"/>
  <pageSetup paperSize="9" scale="87" orientation="portrait" blackAndWhite="1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Blad4227111">
    <pageSetUpPr fitToPage="1"/>
  </sheetPr>
  <dimension ref="A1:P62"/>
  <sheetViews>
    <sheetView showGridLines="0" showRowColHeaders="0" showZeros="0" topLeftCell="A9" zoomScale="80" workbookViewId="0">
      <pane ySplit="5" topLeftCell="A14" activePane="bottomLeft" state="frozenSplit"/>
      <selection activeCell="P9" sqref="P1:P65536"/>
      <selection pane="bottomLeft" activeCell="J14" sqref="J14"/>
    </sheetView>
  </sheetViews>
  <sheetFormatPr defaultColWidth="11.3828125" defaultRowHeight="12.45"/>
  <cols>
    <col min="1" max="1" width="2.84375" style="284" customWidth="1"/>
    <col min="2" max="2" width="8.84375" style="318" hidden="1" customWidth="1"/>
    <col min="3" max="3" width="4.53515625" style="320" hidden="1" customWidth="1"/>
    <col min="4" max="4" width="11.3828125" style="354" hidden="1" customWidth="1"/>
    <col min="5" max="5" width="8.3828125" style="354" hidden="1" customWidth="1"/>
    <col min="6" max="6" width="7.15234375" style="30" hidden="1" customWidth="1"/>
    <col min="7" max="7" width="1.53515625" style="30" hidden="1" customWidth="1"/>
    <col min="8" max="8" width="4.3828125" style="1" customWidth="1"/>
    <col min="9" max="9" width="7.53515625" style="1" customWidth="1"/>
    <col min="10" max="13" width="8.15234375" style="6" customWidth="1"/>
    <col min="14" max="14" width="11.07421875" style="8" customWidth="1"/>
    <col min="15" max="15" width="36.15234375" style="1" customWidth="1"/>
    <col min="16" max="16" width="11.15234375" style="1" customWidth="1"/>
    <col min="17" max="16384" width="11.3828125" style="1"/>
  </cols>
  <sheetData>
    <row r="1" spans="1:16" s="15" customFormat="1" ht="16" customHeight="1">
      <c r="A1" s="21" t="s">
        <v>30</v>
      </c>
      <c r="B1" s="315"/>
      <c r="C1" s="315"/>
      <c r="D1" s="272"/>
      <c r="E1" s="272"/>
      <c r="F1" s="272"/>
      <c r="G1" s="272"/>
      <c r="P1" s="27" t="s">
        <v>31</v>
      </c>
    </row>
    <row r="2" spans="1:16" s="262" customFormat="1" ht="15" customHeight="1">
      <c r="A2" s="145">
        <f>inst</f>
        <v>0</v>
      </c>
      <c r="B2" s="317"/>
      <c r="C2" s="317"/>
      <c r="D2" s="145"/>
      <c r="E2" s="145"/>
      <c r="F2" s="145"/>
      <c r="G2" s="145"/>
    </row>
    <row r="3" spans="1:16" s="16" customFormat="1" ht="15.75" customHeight="1">
      <c r="A3" s="17"/>
      <c r="B3" s="318"/>
      <c r="C3" s="318"/>
      <c r="D3" s="17"/>
      <c r="E3" s="17"/>
      <c r="F3" s="17"/>
      <c r="G3" s="17"/>
      <c r="L3" s="29"/>
    </row>
    <row r="4" spans="1:16" ht="15.75" customHeight="1">
      <c r="A4" s="17"/>
      <c r="C4" s="318"/>
      <c r="D4" s="176"/>
      <c r="E4" s="176"/>
      <c r="F4" s="17"/>
      <c r="G4" s="17"/>
      <c r="H4" s="30"/>
      <c r="I4" s="30"/>
      <c r="J4" s="30"/>
      <c r="K4" s="30"/>
      <c r="L4" s="30"/>
      <c r="M4" s="30"/>
      <c r="N4" s="30"/>
      <c r="O4" s="31" t="s">
        <v>34</v>
      </c>
      <c r="P4" s="32">
        <f>H14</f>
        <v>44043</v>
      </c>
    </row>
    <row r="5" spans="1:16" ht="15.75" customHeight="1">
      <c r="A5" s="17"/>
      <c r="C5" s="318"/>
      <c r="D5" s="176"/>
      <c r="E5" s="176"/>
      <c r="F5" s="17"/>
      <c r="G5" s="17"/>
      <c r="H5" s="30"/>
      <c r="I5" s="30"/>
      <c r="J5" s="30"/>
      <c r="K5" s="30"/>
      <c r="L5" s="17"/>
      <c r="M5" s="30"/>
      <c r="N5" s="30"/>
      <c r="O5" s="31" t="s">
        <v>33</v>
      </c>
      <c r="P5" s="33">
        <f>H14</f>
        <v>44043</v>
      </c>
    </row>
    <row r="6" spans="1:16" ht="15.75" customHeight="1">
      <c r="A6" s="17"/>
      <c r="B6" s="17"/>
      <c r="C6" s="318"/>
      <c r="D6" s="17"/>
      <c r="E6" s="17"/>
      <c r="F6" s="17"/>
      <c r="G6" s="17"/>
      <c r="H6" s="30"/>
      <c r="I6" s="30"/>
      <c r="J6" s="30"/>
      <c r="K6" s="30"/>
      <c r="L6" s="30"/>
      <c r="M6" s="30"/>
      <c r="N6" s="30"/>
      <c r="O6" s="30"/>
      <c r="P6" s="30"/>
    </row>
    <row r="7" spans="1:16" ht="12.75" customHeight="1" thickBot="1">
      <c r="A7" s="269"/>
      <c r="H7" s="422" t="s">
        <v>73</v>
      </c>
      <c r="I7" s="423"/>
      <c r="J7" s="423"/>
      <c r="K7" s="423"/>
      <c r="L7" s="423"/>
      <c r="M7" s="423"/>
      <c r="N7" s="422" t="s">
        <v>74</v>
      </c>
      <c r="O7" s="422" t="s">
        <v>72</v>
      </c>
      <c r="P7" s="424"/>
    </row>
    <row r="8" spans="1:16" s="2" customFormat="1" ht="17.25" customHeight="1" thickBot="1">
      <c r="A8" s="269"/>
      <c r="B8" s="318"/>
      <c r="C8" s="321"/>
      <c r="D8" s="453" t="s">
        <v>120</v>
      </c>
      <c r="E8" s="392">
        <f ca="1">INT((LEN(fel_1)+LEN(fel_2)+LEN(fel_3))/60)+COUNTIF(B14:C38,"1")</f>
        <v>3</v>
      </c>
      <c r="F8" s="323"/>
      <c r="G8" s="323"/>
      <c r="H8" s="39" t="str">
        <f>IF(namn&lt;&gt;"","  "&amp;namn,"")</f>
        <v/>
      </c>
      <c r="I8" s="40"/>
      <c r="J8" s="41"/>
      <c r="K8" s="41"/>
      <c r="L8" s="41"/>
      <c r="M8" s="41"/>
      <c r="N8" s="180">
        <f>tjänst</f>
        <v>1</v>
      </c>
      <c r="O8" s="42" t="str">
        <f>IF(p_nr&lt;&gt;"","  "&amp;p_nr,"")</f>
        <v/>
      </c>
      <c r="P8" s="287"/>
    </row>
    <row r="9" spans="1:16" s="2" customFormat="1" ht="3" customHeight="1">
      <c r="A9" s="269"/>
      <c r="B9" s="454"/>
      <c r="C9" s="455"/>
      <c r="D9" s="436"/>
      <c r="E9" s="436"/>
      <c r="F9" s="436"/>
      <c r="G9" s="402"/>
      <c r="H9" s="415"/>
      <c r="I9" s="415"/>
      <c r="J9" s="415"/>
      <c r="K9" s="415"/>
      <c r="L9" s="415"/>
      <c r="M9" s="415"/>
      <c r="N9" s="416"/>
      <c r="O9" s="417"/>
      <c r="P9" s="418"/>
    </row>
    <row r="10" spans="1:16" s="14" customFormat="1" ht="12.75" customHeight="1">
      <c r="A10" s="324"/>
      <c r="B10" s="559" t="s">
        <v>135</v>
      </c>
      <c r="C10" s="560"/>
      <c r="D10" s="437" t="s">
        <v>119</v>
      </c>
      <c r="E10" s="437" t="s">
        <v>121</v>
      </c>
      <c r="F10" s="438" t="s">
        <v>116</v>
      </c>
      <c r="G10" s="390"/>
      <c r="H10" s="409" t="s">
        <v>88</v>
      </c>
      <c r="I10" s="409" t="s">
        <v>39</v>
      </c>
      <c r="J10" s="410" t="s">
        <v>14</v>
      </c>
      <c r="K10" s="410" t="s">
        <v>15</v>
      </c>
      <c r="L10" s="410" t="s">
        <v>15</v>
      </c>
      <c r="M10" s="410" t="s">
        <v>14</v>
      </c>
      <c r="N10" s="411" t="s">
        <v>145</v>
      </c>
      <c r="O10" s="409" t="s">
        <v>76</v>
      </c>
      <c r="P10" s="412" t="s">
        <v>77</v>
      </c>
    </row>
    <row r="11" spans="1:16" s="14" customFormat="1" ht="12.75" customHeight="1">
      <c r="A11" s="324"/>
      <c r="B11" s="439" t="s">
        <v>118</v>
      </c>
      <c r="C11" s="456" t="s">
        <v>101</v>
      </c>
      <c r="D11" s="437" t="s">
        <v>118</v>
      </c>
      <c r="E11" s="437" t="s">
        <v>122</v>
      </c>
      <c r="F11" s="439" t="s">
        <v>117</v>
      </c>
      <c r="G11" s="391"/>
      <c r="H11" s="409" t="s">
        <v>9</v>
      </c>
      <c r="I11" s="409" t="s">
        <v>10</v>
      </c>
      <c r="J11" s="413" t="s">
        <v>16</v>
      </c>
      <c r="K11" s="414" t="s">
        <v>16</v>
      </c>
      <c r="L11" s="414" t="s">
        <v>17</v>
      </c>
      <c r="M11" s="410" t="s">
        <v>18</v>
      </c>
      <c r="N11" s="419" t="str">
        <f ca="1">IF(INFO("system")="mac","tim.minut","tim:minut")</f>
        <v>tim:minut</v>
      </c>
      <c r="O11" s="420" t="s">
        <v>164</v>
      </c>
      <c r="P11" s="421" t="s">
        <v>161</v>
      </c>
    </row>
    <row r="12" spans="1:16" s="2" customFormat="1" ht="3" customHeight="1">
      <c r="A12" s="269"/>
      <c r="B12" s="439"/>
      <c r="C12" s="456"/>
      <c r="D12" s="439"/>
      <c r="E12" s="439"/>
      <c r="F12" s="439"/>
      <c r="G12" s="402"/>
      <c r="H12" s="409"/>
      <c r="I12" s="409"/>
      <c r="J12" s="409"/>
      <c r="K12" s="409"/>
      <c r="L12" s="409"/>
      <c r="M12" s="409"/>
      <c r="N12" s="425"/>
      <c r="O12" s="412"/>
      <c r="P12" s="426"/>
    </row>
    <row r="13" spans="1:16" s="172" customFormat="1" ht="18" customHeight="1" thickBot="1">
      <c r="A13" s="329"/>
      <c r="B13" s="449" t="s">
        <v>10</v>
      </c>
      <c r="C13" s="457" t="s">
        <v>102</v>
      </c>
      <c r="D13" s="448" t="s">
        <v>22</v>
      </c>
      <c r="E13" s="448" t="s">
        <v>123</v>
      </c>
      <c r="F13" s="449" t="s">
        <v>142</v>
      </c>
      <c r="G13" s="401"/>
      <c r="H13" s="167" t="str">
        <f>IF(LEN(J13)&gt;0,"  INFO:","")</f>
        <v xml:space="preserve">  INFO:</v>
      </c>
      <c r="I13" s="168"/>
      <c r="J13" s="544" t="str">
        <f>IF(LEN(fel_1)&gt;0,fel_1,IF(LEN(fel_2)&gt;0,fel_2,IF(LEN(fel_3)&gt;0,fel_3,IF(LEN(fel_4)&gt;0,fel_4,IF(SUMIF(B14:B44,"&gt;0"),semfel_1&amp;TEXT(VLOOKUP(1,B14:P44,7),"D MMM")&amp;semfel_2,IF(COUNTIF(C14:C44,"1"),ändr_fel,""))))))</f>
        <v>Du har glömt ange namn och/eller personnr på fliken "Grunddata"!</v>
      </c>
      <c r="K13" s="545"/>
      <c r="L13" s="545"/>
      <c r="M13" s="545"/>
      <c r="N13" s="545"/>
      <c r="O13" s="545"/>
      <c r="P13" s="171" t="str">
        <f ca="1">IF(E8&gt;1,"Tot. "&amp;E8&amp;" fel","")</f>
        <v>Tot. 3 fel</v>
      </c>
    </row>
    <row r="14" spans="1:16" ht="17.25" customHeight="1">
      <c r="A14" s="334"/>
      <c r="B14" s="479" t="str">
        <f t="shared" ref="B14:B44" ca="1" si="0">IF(AND(F14="ej sem",OR(LEFT(O14,3)="sem",LEFT(O14,4)="sjuk")),1,"")</f>
        <v/>
      </c>
      <c r="C14" s="480" t="str">
        <f t="shared" ref="C14:C44" ca="1" si="1">IF(NOT(ISERROR(E14)),"",IF(N14&lt;&gt;"",IF(ERROR.TYPE(E14)=3,1,),))</f>
        <v/>
      </c>
      <c r="D14" s="388">
        <f t="shared" ref="D14:D44" ca="1" si="2">IF(TODAY()&gt;=H14,IF(AND(LEFT(O14,3)="SEM",F14&lt;&gt;"ej sem"),1,IF(AND(LEFT(O14,4)="sjuk",F14&lt;&gt;"ej sem"),100,0)),0)</f>
        <v>0</v>
      </c>
      <c r="E14" s="381">
        <f t="shared" ref="E14:E44" ca="1" si="3">IF(AND(TODAY()&gt;=H14,F14&gt;0,OR(J14&gt;0,L14&gt;0,N14&lt;&gt;0)),((M14-L14+K14-J14)+IF(ISBLANK(N14),0,IF(LEFT(N14,1)="-",-TIMEVALUE(RIGHT(N14,LEN(N14)-1)),IF(LEFT(N14,1)="+",TIMEVALUE(RIGHT(N14,LEN(N14)-1)),TIMEVALUE(N14)))))*24,IF(OR(D14=1,D14=100),F14*tjänst,0))</f>
        <v>0</v>
      </c>
      <c r="F14" s="183">
        <f ca="1">IF(AND(H14&gt;=startdag,H14&lt;=slutdag),IF(TODAY()&gt;=H14,Normtid!Y5,0),0)</f>
        <v>0</v>
      </c>
      <c r="G14" s="403"/>
      <c r="H14" s="375">
        <f>Normtid!X5</f>
        <v>44043</v>
      </c>
      <c r="I14" s="376" t="str">
        <f t="shared" ref="I14:I44" si="4">PROPER(TEXT(WEEKDAY(H14)+1,"DDD"))</f>
        <v>Tor</v>
      </c>
      <c r="J14" s="377"/>
      <c r="K14" s="377"/>
      <c r="L14" s="377"/>
      <c r="M14" s="378"/>
      <c r="N14" s="379"/>
      <c r="O14" s="380" t="str">
        <f>Normtid!$Z5</f>
        <v/>
      </c>
      <c r="P14" s="381">
        <f ca="1">IF(E14&lt;&gt;0,E14,0)</f>
        <v>0</v>
      </c>
    </row>
    <row r="15" spans="1:16" ht="15.75" customHeight="1">
      <c r="B15" s="460" t="str">
        <f t="shared" ca="1" si="0"/>
        <v/>
      </c>
      <c r="C15" s="461" t="str">
        <f t="shared" ca="1" si="1"/>
        <v/>
      </c>
      <c r="D15" s="195">
        <f t="shared" ca="1" si="2"/>
        <v>0</v>
      </c>
      <c r="E15" s="196">
        <f t="shared" ca="1" si="3"/>
        <v>0</v>
      </c>
      <c r="F15" s="191">
        <f ca="1">IF(AND(H15&gt;=startdag,H15&lt;=slutdag),IF(TODAY()&gt;=H15,Normtid!Y6,0),0)</f>
        <v>0</v>
      </c>
      <c r="G15" s="403"/>
      <c r="H15" s="189">
        <f>Normtid!X6</f>
        <v>44044</v>
      </c>
      <c r="I15" s="190" t="str">
        <f t="shared" si="4"/>
        <v>Fre</v>
      </c>
      <c r="J15" s="192"/>
      <c r="K15" s="192"/>
      <c r="L15" s="192"/>
      <c r="M15" s="202"/>
      <c r="N15" s="193"/>
      <c r="O15" s="194" t="str">
        <f>Normtid!$Z6</f>
        <v/>
      </c>
      <c r="P15" s="196">
        <f t="shared" ref="P15:P44" ca="1" si="5">IF(E15&lt;&gt;0,E15,0)</f>
        <v>0</v>
      </c>
    </row>
    <row r="16" spans="1:16" ht="15.75" customHeight="1">
      <c r="B16" s="462" t="str">
        <f t="shared" ca="1" si="0"/>
        <v/>
      </c>
      <c r="C16" s="463" t="str">
        <f t="shared" ca="1" si="1"/>
        <v/>
      </c>
      <c r="D16" s="388">
        <f t="shared" ca="1" si="2"/>
        <v>0</v>
      </c>
      <c r="E16" s="188">
        <f t="shared" ca="1" si="3"/>
        <v>0</v>
      </c>
      <c r="F16" s="183">
        <f ca="1">IF(AND(H16&gt;=startdag,H16&lt;=slutdag),IF(TODAY()&gt;=H16,Normtid!Y7,0),0)</f>
        <v>0</v>
      </c>
      <c r="G16" s="403"/>
      <c r="H16" s="181">
        <f>Normtid!X7</f>
        <v>44045</v>
      </c>
      <c r="I16" s="182" t="str">
        <f t="shared" si="4"/>
        <v>Lör</v>
      </c>
      <c r="J16" s="184"/>
      <c r="K16" s="184"/>
      <c r="L16" s="184"/>
      <c r="M16" s="204"/>
      <c r="N16" s="185"/>
      <c r="O16" s="186" t="str">
        <f>Normtid!$Z7</f>
        <v/>
      </c>
      <c r="P16" s="188">
        <f t="shared" ca="1" si="5"/>
        <v>0</v>
      </c>
    </row>
    <row r="17" spans="2:16" ht="15.75" customHeight="1">
      <c r="B17" s="460" t="str">
        <f t="shared" ca="1" si="0"/>
        <v/>
      </c>
      <c r="C17" s="461" t="str">
        <f t="shared" ca="1" si="1"/>
        <v/>
      </c>
      <c r="D17" s="195">
        <f t="shared" ca="1" si="2"/>
        <v>0</v>
      </c>
      <c r="E17" s="196">
        <f t="shared" ca="1" si="3"/>
        <v>0</v>
      </c>
      <c r="F17" s="191">
        <f ca="1">IF(AND(H17&gt;=startdag,H17&lt;=slutdag),IF(TODAY()&gt;=H17,Normtid!Y8,0),0)</f>
        <v>0</v>
      </c>
      <c r="G17" s="403"/>
      <c r="H17" s="189">
        <f>Normtid!X8</f>
        <v>44046</v>
      </c>
      <c r="I17" s="190" t="str">
        <f t="shared" si="4"/>
        <v>Sön</v>
      </c>
      <c r="J17" s="192"/>
      <c r="K17" s="192"/>
      <c r="L17" s="192"/>
      <c r="M17" s="202"/>
      <c r="N17" s="193"/>
      <c r="O17" s="194" t="str">
        <f>Normtid!$Z8</f>
        <v/>
      </c>
      <c r="P17" s="196">
        <f t="shared" ca="1" si="5"/>
        <v>0</v>
      </c>
    </row>
    <row r="18" spans="2:16" ht="15.75" customHeight="1">
      <c r="B18" s="462" t="str">
        <f t="shared" ca="1" si="0"/>
        <v/>
      </c>
      <c r="C18" s="463" t="str">
        <f t="shared" ca="1" si="1"/>
        <v/>
      </c>
      <c r="D18" s="388">
        <f t="shared" ca="1" si="2"/>
        <v>0</v>
      </c>
      <c r="E18" s="188">
        <f t="shared" ca="1" si="3"/>
        <v>0</v>
      </c>
      <c r="F18" s="183">
        <f ca="1">IF(AND(H18&gt;=startdag,H18&lt;=slutdag),IF(TODAY()&gt;=H18,Normtid!Y9,0),0)</f>
        <v>0</v>
      </c>
      <c r="G18" s="403"/>
      <c r="H18" s="181">
        <f>Normtid!X9</f>
        <v>44047</v>
      </c>
      <c r="I18" s="182" t="str">
        <f t="shared" si="4"/>
        <v>Mån</v>
      </c>
      <c r="J18" s="184"/>
      <c r="K18" s="184"/>
      <c r="L18" s="184"/>
      <c r="M18" s="204"/>
      <c r="N18" s="185"/>
      <c r="O18" s="186" t="str">
        <f>Normtid!$Z9</f>
        <v/>
      </c>
      <c r="P18" s="188">
        <f t="shared" ca="1" si="5"/>
        <v>0</v>
      </c>
    </row>
    <row r="19" spans="2:16" ht="15.75" customHeight="1">
      <c r="B19" s="460" t="str">
        <f t="shared" ca="1" si="0"/>
        <v/>
      </c>
      <c r="C19" s="461" t="str">
        <f t="shared" ca="1" si="1"/>
        <v/>
      </c>
      <c r="D19" s="195">
        <f t="shared" ca="1" si="2"/>
        <v>0</v>
      </c>
      <c r="E19" s="196">
        <f t="shared" ca="1" si="3"/>
        <v>0</v>
      </c>
      <c r="F19" s="191">
        <f ca="1">IF(AND(H19&gt;=startdag,H19&lt;=slutdag),IF(TODAY()&gt;=H19,Normtid!Y10,0),0)</f>
        <v>0</v>
      </c>
      <c r="G19" s="403"/>
      <c r="H19" s="189">
        <f>Normtid!X10</f>
        <v>44048</v>
      </c>
      <c r="I19" s="190" t="str">
        <f t="shared" si="4"/>
        <v>Tis</v>
      </c>
      <c r="J19" s="192"/>
      <c r="K19" s="192"/>
      <c r="L19" s="192"/>
      <c r="M19" s="202"/>
      <c r="N19" s="193"/>
      <c r="O19" s="194" t="str">
        <f>Normtid!$Z10</f>
        <v/>
      </c>
      <c r="P19" s="196">
        <f t="shared" ca="1" si="5"/>
        <v>0</v>
      </c>
    </row>
    <row r="20" spans="2:16" ht="15.75" customHeight="1">
      <c r="B20" s="462" t="str">
        <f t="shared" ca="1" si="0"/>
        <v/>
      </c>
      <c r="C20" s="463" t="str">
        <f t="shared" ca="1" si="1"/>
        <v/>
      </c>
      <c r="D20" s="388">
        <f t="shared" ca="1" si="2"/>
        <v>0</v>
      </c>
      <c r="E20" s="188">
        <f t="shared" ca="1" si="3"/>
        <v>0</v>
      </c>
      <c r="F20" s="183">
        <f ca="1">IF(AND(H20&gt;=startdag,H20&lt;=slutdag),IF(TODAY()&gt;=H20,Normtid!Y11,0),0)</f>
        <v>0</v>
      </c>
      <c r="G20" s="403"/>
      <c r="H20" s="181">
        <f>Normtid!X11</f>
        <v>44049</v>
      </c>
      <c r="I20" s="182" t="str">
        <f t="shared" si="4"/>
        <v>Ons</v>
      </c>
      <c r="J20" s="184"/>
      <c r="K20" s="184"/>
      <c r="L20" s="184"/>
      <c r="M20" s="204"/>
      <c r="N20" s="185"/>
      <c r="O20" s="186" t="str">
        <f>Normtid!$Z11</f>
        <v/>
      </c>
      <c r="P20" s="188">
        <f t="shared" ca="1" si="5"/>
        <v>0</v>
      </c>
    </row>
    <row r="21" spans="2:16" ht="15.75" customHeight="1">
      <c r="B21" s="460" t="str">
        <f t="shared" ca="1" si="0"/>
        <v/>
      </c>
      <c r="C21" s="461" t="str">
        <f t="shared" ca="1" si="1"/>
        <v/>
      </c>
      <c r="D21" s="195">
        <f t="shared" ca="1" si="2"/>
        <v>0</v>
      </c>
      <c r="E21" s="196">
        <f t="shared" ca="1" si="3"/>
        <v>0</v>
      </c>
      <c r="F21" s="191">
        <f ca="1">IF(AND(H21&gt;=startdag,H21&lt;=slutdag),IF(TODAY()&gt;=H21,Normtid!Y12,0),0)</f>
        <v>0</v>
      </c>
      <c r="G21" s="403"/>
      <c r="H21" s="189">
        <f>Normtid!X12</f>
        <v>44050</v>
      </c>
      <c r="I21" s="190" t="str">
        <f t="shared" si="4"/>
        <v>Tor</v>
      </c>
      <c r="J21" s="192"/>
      <c r="K21" s="192"/>
      <c r="L21" s="192"/>
      <c r="M21" s="202"/>
      <c r="N21" s="193"/>
      <c r="O21" s="194" t="str">
        <f>Normtid!$Z12</f>
        <v/>
      </c>
      <c r="P21" s="196">
        <f t="shared" ca="1" si="5"/>
        <v>0</v>
      </c>
    </row>
    <row r="22" spans="2:16" ht="15.75" customHeight="1">
      <c r="B22" s="462" t="str">
        <f t="shared" ca="1" si="0"/>
        <v/>
      </c>
      <c r="C22" s="463" t="str">
        <f t="shared" ca="1" si="1"/>
        <v/>
      </c>
      <c r="D22" s="388">
        <f t="shared" ca="1" si="2"/>
        <v>0</v>
      </c>
      <c r="E22" s="188">
        <f t="shared" ca="1" si="3"/>
        <v>0</v>
      </c>
      <c r="F22" s="183">
        <f ca="1">IF(AND(H22&gt;=startdag,H22&lt;=slutdag),IF(TODAY()&gt;=H22,Normtid!Y13,0),0)</f>
        <v>0</v>
      </c>
      <c r="G22" s="403"/>
      <c r="H22" s="181">
        <f>Normtid!X13</f>
        <v>44051</v>
      </c>
      <c r="I22" s="182" t="str">
        <f t="shared" si="4"/>
        <v>Fre</v>
      </c>
      <c r="J22" s="184"/>
      <c r="K22" s="184"/>
      <c r="L22" s="184"/>
      <c r="M22" s="204"/>
      <c r="N22" s="185"/>
      <c r="O22" s="186" t="str">
        <f>Normtid!$Z13</f>
        <v/>
      </c>
      <c r="P22" s="188">
        <f t="shared" ca="1" si="5"/>
        <v>0</v>
      </c>
    </row>
    <row r="23" spans="2:16" ht="15.75" customHeight="1">
      <c r="B23" s="460" t="str">
        <f t="shared" ca="1" si="0"/>
        <v/>
      </c>
      <c r="C23" s="461" t="str">
        <f t="shared" ca="1" si="1"/>
        <v/>
      </c>
      <c r="D23" s="195">
        <f t="shared" ca="1" si="2"/>
        <v>0</v>
      </c>
      <c r="E23" s="196">
        <f t="shared" ca="1" si="3"/>
        <v>0</v>
      </c>
      <c r="F23" s="191">
        <f ca="1">IF(AND(H23&gt;=startdag,H23&lt;=slutdag),IF(TODAY()&gt;=H23,Normtid!Y14,0),0)</f>
        <v>0</v>
      </c>
      <c r="G23" s="403"/>
      <c r="H23" s="189">
        <f>Normtid!X14</f>
        <v>44052</v>
      </c>
      <c r="I23" s="190" t="str">
        <f t="shared" si="4"/>
        <v>Lör</v>
      </c>
      <c r="J23" s="192"/>
      <c r="K23" s="192"/>
      <c r="L23" s="192"/>
      <c r="M23" s="202"/>
      <c r="N23" s="193"/>
      <c r="O23" s="194" t="str">
        <f>Normtid!$Z14</f>
        <v/>
      </c>
      <c r="P23" s="196">
        <f t="shared" ca="1" si="5"/>
        <v>0</v>
      </c>
    </row>
    <row r="24" spans="2:16" ht="15.75" customHeight="1">
      <c r="B24" s="462" t="str">
        <f t="shared" ca="1" si="0"/>
        <v/>
      </c>
      <c r="C24" s="463" t="str">
        <f t="shared" ca="1" si="1"/>
        <v/>
      </c>
      <c r="D24" s="388">
        <f t="shared" ca="1" si="2"/>
        <v>0</v>
      </c>
      <c r="E24" s="188">
        <f t="shared" ca="1" si="3"/>
        <v>0</v>
      </c>
      <c r="F24" s="183">
        <f ca="1">IF(AND(H24&gt;=startdag,H24&lt;=slutdag),IF(TODAY()&gt;=H24,Normtid!Y15,0),0)</f>
        <v>0</v>
      </c>
      <c r="G24" s="403"/>
      <c r="H24" s="181">
        <f>Normtid!X15</f>
        <v>44053</v>
      </c>
      <c r="I24" s="182" t="str">
        <f t="shared" si="4"/>
        <v>Sön</v>
      </c>
      <c r="J24" s="184"/>
      <c r="K24" s="184"/>
      <c r="L24" s="184"/>
      <c r="M24" s="204"/>
      <c r="N24" s="185"/>
      <c r="O24" s="186" t="str">
        <f>Normtid!$Z15</f>
        <v/>
      </c>
      <c r="P24" s="188">
        <f t="shared" ca="1" si="5"/>
        <v>0</v>
      </c>
    </row>
    <row r="25" spans="2:16" ht="15.75" customHeight="1">
      <c r="B25" s="460" t="str">
        <f t="shared" ca="1" si="0"/>
        <v/>
      </c>
      <c r="C25" s="461" t="str">
        <f t="shared" ca="1" si="1"/>
        <v/>
      </c>
      <c r="D25" s="195">
        <f t="shared" ca="1" si="2"/>
        <v>0</v>
      </c>
      <c r="E25" s="196">
        <f t="shared" ca="1" si="3"/>
        <v>0</v>
      </c>
      <c r="F25" s="191">
        <f ca="1">IF(AND(H25&gt;=startdag,H25&lt;=slutdag),IF(TODAY()&gt;=H25,Normtid!Y16,0),0)</f>
        <v>0</v>
      </c>
      <c r="G25" s="403"/>
      <c r="H25" s="189">
        <f>Normtid!X16</f>
        <v>44054</v>
      </c>
      <c r="I25" s="190" t="str">
        <f t="shared" si="4"/>
        <v>Mån</v>
      </c>
      <c r="J25" s="192"/>
      <c r="K25" s="192"/>
      <c r="L25" s="192"/>
      <c r="M25" s="202"/>
      <c r="N25" s="193"/>
      <c r="O25" s="194" t="str">
        <f>Normtid!$Z16</f>
        <v/>
      </c>
      <c r="P25" s="196">
        <f t="shared" ca="1" si="5"/>
        <v>0</v>
      </c>
    </row>
    <row r="26" spans="2:16" ht="15.75" customHeight="1">
      <c r="B26" s="462" t="str">
        <f t="shared" ca="1" si="0"/>
        <v/>
      </c>
      <c r="C26" s="463" t="str">
        <f t="shared" ca="1" si="1"/>
        <v/>
      </c>
      <c r="D26" s="388">
        <f t="shared" ca="1" si="2"/>
        <v>0</v>
      </c>
      <c r="E26" s="188">
        <f t="shared" ca="1" si="3"/>
        <v>0</v>
      </c>
      <c r="F26" s="183">
        <f ca="1">IF(AND(H26&gt;=startdag,H26&lt;=slutdag),IF(TODAY()&gt;=H26,Normtid!Y17,0),0)</f>
        <v>0</v>
      </c>
      <c r="G26" s="403"/>
      <c r="H26" s="181">
        <f>Normtid!X17</f>
        <v>44055</v>
      </c>
      <c r="I26" s="182" t="str">
        <f t="shared" si="4"/>
        <v>Tis</v>
      </c>
      <c r="J26" s="184"/>
      <c r="K26" s="184"/>
      <c r="L26" s="184"/>
      <c r="M26" s="204"/>
      <c r="N26" s="185"/>
      <c r="O26" s="186" t="str">
        <f>Normtid!$Z17</f>
        <v/>
      </c>
      <c r="P26" s="188">
        <f t="shared" ca="1" si="5"/>
        <v>0</v>
      </c>
    </row>
    <row r="27" spans="2:16" ht="15.75" customHeight="1">
      <c r="B27" s="460" t="str">
        <f t="shared" ca="1" si="0"/>
        <v/>
      </c>
      <c r="C27" s="461" t="str">
        <f t="shared" ca="1" si="1"/>
        <v/>
      </c>
      <c r="D27" s="195">
        <f t="shared" ca="1" si="2"/>
        <v>0</v>
      </c>
      <c r="E27" s="196">
        <f t="shared" ca="1" si="3"/>
        <v>0</v>
      </c>
      <c r="F27" s="191">
        <f ca="1">IF(AND(H27&gt;=startdag,H27&lt;=slutdag),IF(TODAY()&gt;=H27,Normtid!Y18,0),0)</f>
        <v>0</v>
      </c>
      <c r="G27" s="403"/>
      <c r="H27" s="189">
        <f>Normtid!X18</f>
        <v>44056</v>
      </c>
      <c r="I27" s="190" t="str">
        <f t="shared" si="4"/>
        <v>Ons</v>
      </c>
      <c r="J27" s="192"/>
      <c r="K27" s="192"/>
      <c r="L27" s="192"/>
      <c r="M27" s="202"/>
      <c r="N27" s="193"/>
      <c r="O27" s="194" t="str">
        <f>Normtid!$Z18</f>
        <v/>
      </c>
      <c r="P27" s="196">
        <f t="shared" ca="1" si="5"/>
        <v>0</v>
      </c>
    </row>
    <row r="28" spans="2:16" ht="15.75" customHeight="1">
      <c r="B28" s="462" t="str">
        <f t="shared" ca="1" si="0"/>
        <v/>
      </c>
      <c r="C28" s="463" t="str">
        <f t="shared" ca="1" si="1"/>
        <v/>
      </c>
      <c r="D28" s="388">
        <f t="shared" ca="1" si="2"/>
        <v>0</v>
      </c>
      <c r="E28" s="188">
        <f t="shared" ca="1" si="3"/>
        <v>0</v>
      </c>
      <c r="F28" s="183">
        <f ca="1">IF(AND(H28&gt;=startdag,H28&lt;=slutdag),IF(TODAY()&gt;=H28,Normtid!Y19,0),0)</f>
        <v>0</v>
      </c>
      <c r="G28" s="403"/>
      <c r="H28" s="181">
        <f>Normtid!X19</f>
        <v>44057</v>
      </c>
      <c r="I28" s="182" t="str">
        <f t="shared" si="4"/>
        <v>Tor</v>
      </c>
      <c r="J28" s="184"/>
      <c r="K28" s="184"/>
      <c r="L28" s="184"/>
      <c r="M28" s="204"/>
      <c r="N28" s="185"/>
      <c r="O28" s="186" t="str">
        <f>Normtid!$Z19</f>
        <v/>
      </c>
      <c r="P28" s="188">
        <f t="shared" ca="1" si="5"/>
        <v>0</v>
      </c>
    </row>
    <row r="29" spans="2:16" ht="15.75" customHeight="1">
      <c r="B29" s="460" t="str">
        <f t="shared" ca="1" si="0"/>
        <v/>
      </c>
      <c r="C29" s="461" t="str">
        <f t="shared" ca="1" si="1"/>
        <v/>
      </c>
      <c r="D29" s="195">
        <f t="shared" ca="1" si="2"/>
        <v>0</v>
      </c>
      <c r="E29" s="196">
        <f t="shared" ca="1" si="3"/>
        <v>0</v>
      </c>
      <c r="F29" s="191">
        <f ca="1">IF(AND(H29&gt;=startdag,H29&lt;=slutdag),IF(TODAY()&gt;=H29,Normtid!Y20,0),0)</f>
        <v>0</v>
      </c>
      <c r="G29" s="403"/>
      <c r="H29" s="189">
        <f>Normtid!X20</f>
        <v>44058</v>
      </c>
      <c r="I29" s="190" t="str">
        <f t="shared" si="4"/>
        <v>Fre</v>
      </c>
      <c r="J29" s="192"/>
      <c r="K29" s="192"/>
      <c r="L29" s="192"/>
      <c r="M29" s="202"/>
      <c r="N29" s="193"/>
      <c r="O29" s="194" t="str">
        <f>Normtid!$Z20</f>
        <v/>
      </c>
      <c r="P29" s="196">
        <f t="shared" ca="1" si="5"/>
        <v>0</v>
      </c>
    </row>
    <row r="30" spans="2:16" ht="15.75" customHeight="1">
      <c r="B30" s="462" t="str">
        <f t="shared" ca="1" si="0"/>
        <v/>
      </c>
      <c r="C30" s="463" t="str">
        <f t="shared" ca="1" si="1"/>
        <v/>
      </c>
      <c r="D30" s="388">
        <f t="shared" ca="1" si="2"/>
        <v>0</v>
      </c>
      <c r="E30" s="188">
        <f t="shared" ca="1" si="3"/>
        <v>0</v>
      </c>
      <c r="F30" s="183">
        <f ca="1">IF(AND(H30&gt;=startdag,H30&lt;=slutdag),IF(TODAY()&gt;=H30,Normtid!Y21,0),0)</f>
        <v>0</v>
      </c>
      <c r="G30" s="403"/>
      <c r="H30" s="181">
        <f>Normtid!X21</f>
        <v>44059</v>
      </c>
      <c r="I30" s="182" t="str">
        <f t="shared" si="4"/>
        <v>Lör</v>
      </c>
      <c r="J30" s="184"/>
      <c r="K30" s="184"/>
      <c r="L30" s="184"/>
      <c r="M30" s="204"/>
      <c r="N30" s="185"/>
      <c r="O30" s="186" t="str">
        <f>Normtid!$Z21</f>
        <v/>
      </c>
      <c r="P30" s="188">
        <f t="shared" ca="1" si="5"/>
        <v>0</v>
      </c>
    </row>
    <row r="31" spans="2:16" ht="15.75" customHeight="1">
      <c r="B31" s="460" t="str">
        <f t="shared" ca="1" si="0"/>
        <v/>
      </c>
      <c r="C31" s="461" t="str">
        <f t="shared" ca="1" si="1"/>
        <v/>
      </c>
      <c r="D31" s="195">
        <f t="shared" ca="1" si="2"/>
        <v>0</v>
      </c>
      <c r="E31" s="196">
        <f t="shared" ca="1" si="3"/>
        <v>0</v>
      </c>
      <c r="F31" s="191">
        <f ca="1">IF(AND(H31&gt;=startdag,H31&lt;=slutdag),IF(TODAY()&gt;=H31,Normtid!Y22,0),0)</f>
        <v>0</v>
      </c>
      <c r="G31" s="403"/>
      <c r="H31" s="189">
        <f>Normtid!X22</f>
        <v>44060</v>
      </c>
      <c r="I31" s="190" t="str">
        <f t="shared" si="4"/>
        <v>Sön</v>
      </c>
      <c r="J31" s="192"/>
      <c r="K31" s="192"/>
      <c r="L31" s="192"/>
      <c r="M31" s="202"/>
      <c r="N31" s="193"/>
      <c r="O31" s="194" t="str">
        <f>Normtid!$Z22</f>
        <v/>
      </c>
      <c r="P31" s="196">
        <f t="shared" ca="1" si="5"/>
        <v>0</v>
      </c>
    </row>
    <row r="32" spans="2:16" ht="15.75" customHeight="1">
      <c r="B32" s="462" t="str">
        <f t="shared" ca="1" si="0"/>
        <v/>
      </c>
      <c r="C32" s="463" t="str">
        <f t="shared" ca="1" si="1"/>
        <v/>
      </c>
      <c r="D32" s="388">
        <f t="shared" ca="1" si="2"/>
        <v>0</v>
      </c>
      <c r="E32" s="188">
        <f t="shared" ca="1" si="3"/>
        <v>0</v>
      </c>
      <c r="F32" s="183">
        <f ca="1">IF(AND(H32&gt;=startdag,H32&lt;=slutdag),IF(TODAY()&gt;=H32,Normtid!Y23,0),0)</f>
        <v>0</v>
      </c>
      <c r="G32" s="403"/>
      <c r="H32" s="181">
        <f>Normtid!X23</f>
        <v>44061</v>
      </c>
      <c r="I32" s="182" t="str">
        <f t="shared" si="4"/>
        <v>Mån</v>
      </c>
      <c r="J32" s="184"/>
      <c r="K32" s="184"/>
      <c r="L32" s="184"/>
      <c r="M32" s="204"/>
      <c r="N32" s="185"/>
      <c r="O32" s="186" t="str">
        <f>Normtid!$Z23</f>
        <v/>
      </c>
      <c r="P32" s="188">
        <f t="shared" ca="1" si="5"/>
        <v>0</v>
      </c>
    </row>
    <row r="33" spans="1:16" ht="15.75" customHeight="1">
      <c r="B33" s="460" t="str">
        <f t="shared" ca="1" si="0"/>
        <v/>
      </c>
      <c r="C33" s="461" t="str">
        <f t="shared" ca="1" si="1"/>
        <v/>
      </c>
      <c r="D33" s="195">
        <f t="shared" ca="1" si="2"/>
        <v>0</v>
      </c>
      <c r="E33" s="196">
        <f t="shared" ca="1" si="3"/>
        <v>0</v>
      </c>
      <c r="F33" s="191">
        <f ca="1">IF(AND(H33&gt;=startdag,H33&lt;=slutdag),IF(TODAY()&gt;=H33,Normtid!Y24,0),0)</f>
        <v>0</v>
      </c>
      <c r="G33" s="403"/>
      <c r="H33" s="189">
        <f>Normtid!X24</f>
        <v>44062</v>
      </c>
      <c r="I33" s="190" t="str">
        <f t="shared" si="4"/>
        <v>Tis</v>
      </c>
      <c r="J33" s="192"/>
      <c r="K33" s="192"/>
      <c r="L33" s="192"/>
      <c r="M33" s="202"/>
      <c r="N33" s="193"/>
      <c r="O33" s="194" t="str">
        <f>Normtid!$Z24</f>
        <v/>
      </c>
      <c r="P33" s="196">
        <f t="shared" ca="1" si="5"/>
        <v>0</v>
      </c>
    </row>
    <row r="34" spans="1:16" ht="15.75" customHeight="1">
      <c r="B34" s="462" t="str">
        <f t="shared" ca="1" si="0"/>
        <v/>
      </c>
      <c r="C34" s="463" t="str">
        <f t="shared" ca="1" si="1"/>
        <v/>
      </c>
      <c r="D34" s="388">
        <f t="shared" ca="1" si="2"/>
        <v>0</v>
      </c>
      <c r="E34" s="188">
        <f t="shared" ca="1" si="3"/>
        <v>0</v>
      </c>
      <c r="F34" s="183">
        <f ca="1">IF(AND(H34&gt;=startdag,H34&lt;=slutdag),IF(TODAY()&gt;=H34,Normtid!Y25,0),0)</f>
        <v>0</v>
      </c>
      <c r="G34" s="403"/>
      <c r="H34" s="181">
        <f>Normtid!X25</f>
        <v>44063</v>
      </c>
      <c r="I34" s="182" t="str">
        <f t="shared" si="4"/>
        <v>Ons</v>
      </c>
      <c r="J34" s="184"/>
      <c r="K34" s="184"/>
      <c r="L34" s="184"/>
      <c r="M34" s="204"/>
      <c r="N34" s="185"/>
      <c r="O34" s="186" t="str">
        <f>Normtid!$Z25</f>
        <v/>
      </c>
      <c r="P34" s="188">
        <f t="shared" ca="1" si="5"/>
        <v>0</v>
      </c>
    </row>
    <row r="35" spans="1:16" ht="15.75" customHeight="1">
      <c r="B35" s="460" t="str">
        <f t="shared" ca="1" si="0"/>
        <v/>
      </c>
      <c r="C35" s="461" t="str">
        <f t="shared" ca="1" si="1"/>
        <v/>
      </c>
      <c r="D35" s="195">
        <f t="shared" ca="1" si="2"/>
        <v>0</v>
      </c>
      <c r="E35" s="196">
        <f t="shared" ca="1" si="3"/>
        <v>0</v>
      </c>
      <c r="F35" s="191">
        <f ca="1">IF(AND(H35&gt;=startdag,H35&lt;=slutdag),IF(TODAY()&gt;=H35,Normtid!Y26,0),0)</f>
        <v>0</v>
      </c>
      <c r="G35" s="403"/>
      <c r="H35" s="189">
        <f>Normtid!X26</f>
        <v>44064</v>
      </c>
      <c r="I35" s="190" t="str">
        <f t="shared" si="4"/>
        <v>Tor</v>
      </c>
      <c r="J35" s="192"/>
      <c r="K35" s="192"/>
      <c r="L35" s="192"/>
      <c r="M35" s="202"/>
      <c r="N35" s="193"/>
      <c r="O35" s="194" t="str">
        <f>Normtid!$Z26</f>
        <v/>
      </c>
      <c r="P35" s="196">
        <f t="shared" ca="1" si="5"/>
        <v>0</v>
      </c>
    </row>
    <row r="36" spans="1:16" ht="15.75" customHeight="1">
      <c r="B36" s="462" t="str">
        <f t="shared" ca="1" si="0"/>
        <v/>
      </c>
      <c r="C36" s="463" t="str">
        <f t="shared" ca="1" si="1"/>
        <v/>
      </c>
      <c r="D36" s="388">
        <f t="shared" ca="1" si="2"/>
        <v>0</v>
      </c>
      <c r="E36" s="188">
        <f t="shared" ca="1" si="3"/>
        <v>0</v>
      </c>
      <c r="F36" s="183">
        <f ca="1">IF(AND(H36&gt;=startdag,H36&lt;=slutdag),IF(TODAY()&gt;=H36,Normtid!Y27,0),0)</f>
        <v>0</v>
      </c>
      <c r="G36" s="403"/>
      <c r="H36" s="181">
        <f>Normtid!X27</f>
        <v>44065</v>
      </c>
      <c r="I36" s="182" t="str">
        <f t="shared" si="4"/>
        <v>Fre</v>
      </c>
      <c r="J36" s="184"/>
      <c r="K36" s="184"/>
      <c r="L36" s="184"/>
      <c r="M36" s="204"/>
      <c r="N36" s="185"/>
      <c r="O36" s="186" t="str">
        <f>Normtid!$Z27</f>
        <v/>
      </c>
      <c r="P36" s="188">
        <f t="shared" ca="1" si="5"/>
        <v>0</v>
      </c>
    </row>
    <row r="37" spans="1:16" ht="15.75" customHeight="1">
      <c r="B37" s="460" t="str">
        <f t="shared" ca="1" si="0"/>
        <v/>
      </c>
      <c r="C37" s="461" t="str">
        <f t="shared" ca="1" si="1"/>
        <v/>
      </c>
      <c r="D37" s="195">
        <f t="shared" ca="1" si="2"/>
        <v>0</v>
      </c>
      <c r="E37" s="196">
        <f t="shared" ca="1" si="3"/>
        <v>0</v>
      </c>
      <c r="F37" s="191">
        <f ca="1">IF(AND(H37&gt;=startdag,H37&lt;=slutdag),IF(TODAY()&gt;=H37,Normtid!Y28,0),0)</f>
        <v>0</v>
      </c>
      <c r="G37" s="403"/>
      <c r="H37" s="189">
        <f>Normtid!X28</f>
        <v>44066</v>
      </c>
      <c r="I37" s="190" t="str">
        <f t="shared" si="4"/>
        <v>Lör</v>
      </c>
      <c r="J37" s="192"/>
      <c r="K37" s="192"/>
      <c r="L37" s="192"/>
      <c r="M37" s="202"/>
      <c r="N37" s="193"/>
      <c r="O37" s="194" t="str">
        <f>Normtid!$Z28</f>
        <v/>
      </c>
      <c r="P37" s="196">
        <f t="shared" ca="1" si="5"/>
        <v>0</v>
      </c>
    </row>
    <row r="38" spans="1:16" ht="15.75" customHeight="1">
      <c r="B38" s="462" t="str">
        <f t="shared" ca="1" si="0"/>
        <v/>
      </c>
      <c r="C38" s="463" t="str">
        <f t="shared" ca="1" si="1"/>
        <v/>
      </c>
      <c r="D38" s="388">
        <f t="shared" ca="1" si="2"/>
        <v>0</v>
      </c>
      <c r="E38" s="188">
        <f t="shared" ca="1" si="3"/>
        <v>0</v>
      </c>
      <c r="F38" s="183">
        <f ca="1">IF(AND(H38&gt;=startdag,H38&lt;=slutdag),IF(TODAY()&gt;=H38,Normtid!Y29,0),0)</f>
        <v>0</v>
      </c>
      <c r="G38" s="403"/>
      <c r="H38" s="181">
        <f>Normtid!X29</f>
        <v>44067</v>
      </c>
      <c r="I38" s="182" t="str">
        <f t="shared" si="4"/>
        <v>Sön</v>
      </c>
      <c r="J38" s="184"/>
      <c r="K38" s="184"/>
      <c r="L38" s="184"/>
      <c r="M38" s="204"/>
      <c r="N38" s="185"/>
      <c r="O38" s="186" t="str">
        <f>Normtid!$Z29</f>
        <v/>
      </c>
      <c r="P38" s="188">
        <f t="shared" ca="1" si="5"/>
        <v>0</v>
      </c>
    </row>
    <row r="39" spans="1:16" ht="15.75" customHeight="1">
      <c r="B39" s="460" t="str">
        <f t="shared" ca="1" si="0"/>
        <v/>
      </c>
      <c r="C39" s="461" t="str">
        <f t="shared" ca="1" si="1"/>
        <v/>
      </c>
      <c r="D39" s="195">
        <f t="shared" ca="1" si="2"/>
        <v>0</v>
      </c>
      <c r="E39" s="196">
        <f t="shared" ca="1" si="3"/>
        <v>0</v>
      </c>
      <c r="F39" s="191">
        <f ca="1">IF(AND(H39&gt;=startdag,H39&lt;=slutdag),IF(TODAY()&gt;=H39,Normtid!Y30,0),0)</f>
        <v>0</v>
      </c>
      <c r="G39" s="403"/>
      <c r="H39" s="189">
        <f>Normtid!X30</f>
        <v>44068</v>
      </c>
      <c r="I39" s="190" t="str">
        <f t="shared" si="4"/>
        <v>Mån</v>
      </c>
      <c r="J39" s="192"/>
      <c r="K39" s="192"/>
      <c r="L39" s="192"/>
      <c r="M39" s="202"/>
      <c r="N39" s="193"/>
      <c r="O39" s="194" t="str">
        <f>Normtid!$Z30</f>
        <v/>
      </c>
      <c r="P39" s="196">
        <f t="shared" ca="1" si="5"/>
        <v>0</v>
      </c>
    </row>
    <row r="40" spans="1:16" ht="15.75" customHeight="1">
      <c r="B40" s="462" t="str">
        <f t="shared" ca="1" si="0"/>
        <v/>
      </c>
      <c r="C40" s="463" t="str">
        <f t="shared" ca="1" si="1"/>
        <v/>
      </c>
      <c r="D40" s="388">
        <f t="shared" ca="1" si="2"/>
        <v>0</v>
      </c>
      <c r="E40" s="188">
        <f t="shared" ca="1" si="3"/>
        <v>0</v>
      </c>
      <c r="F40" s="183">
        <f ca="1">IF(AND(H40&gt;=startdag,H40&lt;=slutdag),IF(TODAY()&gt;=H40,Normtid!Y31,0),0)</f>
        <v>0</v>
      </c>
      <c r="G40" s="403"/>
      <c r="H40" s="181">
        <f>Normtid!X31</f>
        <v>44069</v>
      </c>
      <c r="I40" s="182" t="str">
        <f t="shared" si="4"/>
        <v>Tis</v>
      </c>
      <c r="J40" s="184"/>
      <c r="K40" s="184"/>
      <c r="L40" s="184"/>
      <c r="M40" s="204"/>
      <c r="N40" s="185"/>
      <c r="O40" s="186" t="str">
        <f>Normtid!$Z31</f>
        <v/>
      </c>
      <c r="P40" s="188">
        <f t="shared" ca="1" si="5"/>
        <v>0</v>
      </c>
    </row>
    <row r="41" spans="1:16" ht="15.75" customHeight="1">
      <c r="B41" s="460" t="str">
        <f t="shared" ca="1" si="0"/>
        <v/>
      </c>
      <c r="C41" s="461" t="str">
        <f t="shared" ca="1" si="1"/>
        <v/>
      </c>
      <c r="D41" s="195">
        <f t="shared" ca="1" si="2"/>
        <v>0</v>
      </c>
      <c r="E41" s="196">
        <f t="shared" ca="1" si="3"/>
        <v>0</v>
      </c>
      <c r="F41" s="191">
        <f ca="1">IF(AND(H41&gt;=startdag,H41&lt;=slutdag),IF(TODAY()&gt;=H41,Normtid!Y32,0),0)</f>
        <v>0</v>
      </c>
      <c r="G41" s="403"/>
      <c r="H41" s="189">
        <f>Normtid!X32</f>
        <v>44070</v>
      </c>
      <c r="I41" s="190" t="str">
        <f t="shared" si="4"/>
        <v>Ons</v>
      </c>
      <c r="J41" s="192"/>
      <c r="K41" s="192"/>
      <c r="L41" s="192"/>
      <c r="M41" s="202"/>
      <c r="N41" s="193"/>
      <c r="O41" s="194" t="str">
        <f>Normtid!$Z32</f>
        <v/>
      </c>
      <c r="P41" s="196">
        <f t="shared" ca="1" si="5"/>
        <v>0</v>
      </c>
    </row>
    <row r="42" spans="1:16" ht="15.75" customHeight="1">
      <c r="B42" s="462" t="str">
        <f t="shared" ca="1" si="0"/>
        <v/>
      </c>
      <c r="C42" s="463" t="str">
        <f t="shared" ca="1" si="1"/>
        <v/>
      </c>
      <c r="D42" s="388">
        <f t="shared" ca="1" si="2"/>
        <v>0</v>
      </c>
      <c r="E42" s="188">
        <f t="shared" ca="1" si="3"/>
        <v>0</v>
      </c>
      <c r="F42" s="183">
        <f ca="1">IF(AND(H42&gt;=startdag,H42&lt;=slutdag),IF(TODAY()&gt;=H42,Normtid!Y33,0),0)</f>
        <v>0</v>
      </c>
      <c r="G42" s="403"/>
      <c r="H42" s="181">
        <f>Normtid!X33</f>
        <v>44071</v>
      </c>
      <c r="I42" s="182" t="str">
        <f t="shared" si="4"/>
        <v>Tor</v>
      </c>
      <c r="J42" s="184"/>
      <c r="K42" s="184"/>
      <c r="L42" s="184"/>
      <c r="M42" s="204"/>
      <c r="N42" s="185"/>
      <c r="O42" s="186" t="str">
        <f>Normtid!$Z33</f>
        <v/>
      </c>
      <c r="P42" s="188">
        <f t="shared" ca="1" si="5"/>
        <v>0</v>
      </c>
    </row>
    <row r="43" spans="1:16" ht="15.75" customHeight="1">
      <c r="B43" s="460" t="str">
        <f t="shared" ca="1" si="0"/>
        <v/>
      </c>
      <c r="C43" s="461" t="str">
        <f t="shared" ca="1" si="1"/>
        <v/>
      </c>
      <c r="D43" s="195">
        <f t="shared" ca="1" si="2"/>
        <v>0</v>
      </c>
      <c r="E43" s="196">
        <f t="shared" ca="1" si="3"/>
        <v>0</v>
      </c>
      <c r="F43" s="191">
        <f ca="1">IF(AND(H43&gt;=startdag,H43&lt;=slutdag),IF(TODAY()&gt;=H43,Normtid!Y34,0),0)</f>
        <v>0</v>
      </c>
      <c r="G43" s="403"/>
      <c r="H43" s="189">
        <f>Normtid!X34</f>
        <v>44072</v>
      </c>
      <c r="I43" s="190" t="str">
        <f t="shared" si="4"/>
        <v>Fre</v>
      </c>
      <c r="J43" s="192"/>
      <c r="K43" s="192"/>
      <c r="L43" s="192"/>
      <c r="M43" s="202"/>
      <c r="N43" s="193"/>
      <c r="O43" s="194" t="str">
        <f>Normtid!$Z34</f>
        <v/>
      </c>
      <c r="P43" s="196">
        <f t="shared" ca="1" si="5"/>
        <v>0</v>
      </c>
    </row>
    <row r="44" spans="1:16" ht="15.75" customHeight="1">
      <c r="B44" s="464" t="str">
        <f t="shared" ca="1" si="0"/>
        <v/>
      </c>
      <c r="C44" s="465" t="str">
        <f t="shared" ca="1" si="1"/>
        <v/>
      </c>
      <c r="D44" s="389">
        <f t="shared" ca="1" si="2"/>
        <v>0</v>
      </c>
      <c r="E44" s="91">
        <f t="shared" ca="1" si="3"/>
        <v>0</v>
      </c>
      <c r="F44" s="220">
        <f ca="1">IF(AND(H44&gt;=startdag,H44&lt;=slutdag),IF(TODAY()&gt;=H44,Normtid!Y35,0),0)</f>
        <v>0</v>
      </c>
      <c r="G44" s="403"/>
      <c r="H44" s="45">
        <f>Normtid!X35</f>
        <v>44073</v>
      </c>
      <c r="I44" s="46" t="str">
        <f t="shared" si="4"/>
        <v>Lör</v>
      </c>
      <c r="J44" s="48"/>
      <c r="K44" s="48"/>
      <c r="L44" s="48"/>
      <c r="M44" s="49"/>
      <c r="N44" s="101"/>
      <c r="O44" s="102" t="str">
        <f>Normtid!$Z35</f>
        <v/>
      </c>
      <c r="P44" s="91">
        <f t="shared" ca="1" si="5"/>
        <v>0</v>
      </c>
    </row>
    <row r="45" spans="1:16" ht="15.75" customHeight="1" thickBot="1">
      <c r="A45" s="17"/>
      <c r="B45" s="17"/>
      <c r="C45" s="336"/>
      <c r="D45" s="80"/>
      <c r="E45" s="80"/>
      <c r="F45" s="80"/>
      <c r="G45" s="80"/>
      <c r="H45" s="80"/>
      <c r="I45" s="80"/>
      <c r="J45" s="81"/>
      <c r="K45" s="80"/>
      <c r="L45" s="80"/>
      <c r="M45" s="80"/>
      <c r="N45" s="80"/>
      <c r="O45" s="80"/>
      <c r="P45" s="80"/>
    </row>
    <row r="46" spans="1:16" ht="12.9">
      <c r="A46" s="548" t="str">
        <f>Felinfo!H10</f>
        <v>Flex 99:03C • huk-51 • ©</v>
      </c>
      <c r="C46" s="314"/>
      <c r="D46" s="64"/>
      <c r="E46" s="64"/>
      <c r="F46" s="17"/>
      <c r="G46" s="17"/>
      <c r="H46" s="51" t="str">
        <f ca="1">"Summa arbetad tid"&amp;IF(MONTH(H14)=MONTH(TODAY())," t o m ""i dag""","")</f>
        <v>Summa arbetad tid</v>
      </c>
      <c r="I46" s="52"/>
      <c r="J46" s="53"/>
      <c r="K46" s="53"/>
      <c r="L46" s="53"/>
      <c r="M46" s="53"/>
      <c r="N46" s="54"/>
      <c r="O46" s="52"/>
      <c r="P46" s="197">
        <f ca="1">IF(TODAY()&gt;=H14,SUMIF(P14:P44,"&gt;0"),0)</f>
        <v>0</v>
      </c>
    </row>
    <row r="47" spans="1:16" ht="14.25" customHeight="1">
      <c r="A47" s="555"/>
      <c r="C47" s="314"/>
      <c r="D47" s="60"/>
      <c r="E47" s="60"/>
      <c r="F47" s="17"/>
      <c r="G47" s="17"/>
      <c r="H47" s="56" t="str">
        <f ca="1">IF(MONTH(H14)=MONTH(TODAY()),"Månadens normalarbetstid t o m idag","Normalarbetstid för månaden")&amp;IF(AND(MONTH(TODAY())&gt;=MONTH(H14),N8&lt;&gt;1)," (normtid "&amp;SUM(F14:F44)&amp;" tim * tjänsteomfattning "&amp;TEXT(N8*1000,"## %)"),"")</f>
        <v>Normalarbetstid för månaden</v>
      </c>
      <c r="I47" s="17"/>
      <c r="J47" s="57"/>
      <c r="K47" s="57"/>
      <c r="L47" s="57"/>
      <c r="M47" s="57"/>
      <c r="N47" s="58"/>
      <c r="O47" s="59"/>
      <c r="P47" s="198">
        <f ca="1">IF(AND(TODAY()&gt;=H14,MONTH(H14)&gt;=MONTH(Grunddata!C22)),SUM(F14:F44)*N8,0)</f>
        <v>0</v>
      </c>
    </row>
    <row r="48" spans="1:16" ht="14.25" customHeight="1">
      <c r="A48" s="555"/>
      <c r="C48" s="314"/>
      <c r="D48" s="64"/>
      <c r="E48" s="64"/>
      <c r="F48" s="17"/>
      <c r="G48" s="17"/>
      <c r="H48" s="56" t="s">
        <v>35</v>
      </c>
      <c r="I48" s="17"/>
      <c r="J48" s="57"/>
      <c r="K48" s="61"/>
      <c r="L48" s="62"/>
      <c r="M48" s="63"/>
      <c r="N48" s="63"/>
      <c r="O48" s="63"/>
      <c r="P48" s="308">
        <f ca="1">IF(TODAY()&gt;=H14,IF(AND(MONTH(H14)=MONTH(Grunddata!C22),flyttsaldo&lt;&gt;0),flyttsaldo,JULI!P50),0)</f>
        <v>0</v>
      </c>
    </row>
    <row r="49" spans="1:16" ht="14.25" customHeight="1">
      <c r="A49" s="555"/>
      <c r="C49" s="314"/>
      <c r="D49" s="64"/>
      <c r="E49" s="64"/>
      <c r="F49" s="17"/>
      <c r="G49" s="17"/>
      <c r="H49" s="56" t="str">
        <f>IF(tjänst=1,"Över","Mer")&amp;"tidstimmar (ersättning utbetalad med "&amp;TEXT(H14,"MMMM")&amp;"lönen)"</f>
        <v>Övertidstimmar (ersättning utbetalad med augustilönen)</v>
      </c>
      <c r="I49" s="17"/>
      <c r="J49" s="57"/>
      <c r="K49" s="61"/>
      <c r="L49" s="62"/>
      <c r="M49" s="63"/>
      <c r="N49" s="63"/>
      <c r="O49" s="63"/>
      <c r="P49" s="372"/>
    </row>
    <row r="50" spans="1:16" ht="14.25" customHeight="1">
      <c r="A50" s="555"/>
      <c r="C50" s="314"/>
      <c r="D50" s="64"/>
      <c r="E50" s="64"/>
      <c r="F50" s="17"/>
      <c r="G50" s="17"/>
      <c r="H50" s="65" t="str">
        <f ca="1">IF(MONTH(H14)=MONTH(TODAY()),"Dagens saldo +/-","Nytt saldo +/-")</f>
        <v>Nytt saldo +/-</v>
      </c>
      <c r="I50" s="66"/>
      <c r="J50" s="67"/>
      <c r="K50" s="68"/>
      <c r="L50" s="69"/>
      <c r="M50" s="69"/>
      <c r="N50" s="69"/>
      <c r="O50" s="69"/>
      <c r="P50" s="469">
        <f ca="1">IF(TODAY()&gt;=H14,P46-P47+P48-ABS(P49),0)</f>
        <v>0</v>
      </c>
    </row>
    <row r="51" spans="1:16" ht="14.25" customHeight="1" thickBot="1">
      <c r="A51" s="555"/>
      <c r="C51" s="314"/>
      <c r="D51" s="64"/>
      <c r="E51" s="64"/>
      <c r="F51" s="17"/>
      <c r="G51" s="17"/>
      <c r="H51" s="71" t="s">
        <v>29</v>
      </c>
      <c r="I51" s="72"/>
      <c r="J51" s="73"/>
      <c r="K51" s="74">
        <f ca="1">IF(L51&gt;0,"månadens: ",)</f>
        <v>0</v>
      </c>
      <c r="L51" s="75">
        <f ca="1">MOD(SUM(D14:D44),100)</f>
        <v>0</v>
      </c>
      <c r="M51" s="76">
        <f ca="1">IF(N51&gt;0,"årets: ",)</f>
        <v>0</v>
      </c>
      <c r="N51" s="75">
        <f ca="1">'2024'!K21</f>
        <v>0</v>
      </c>
      <c r="O51" s="77" t="str">
        <f ca="1">"  kvarstående:  "&amp;'2024'!$L21</f>
        <v xml:space="preserve">  kvarstående:  0</v>
      </c>
      <c r="P51" s="79"/>
    </row>
    <row r="52" spans="1:16" ht="12" customHeight="1">
      <c r="A52" s="555"/>
      <c r="C52" s="314"/>
      <c r="F52" s="466"/>
      <c r="G52" s="466"/>
      <c r="H52" s="427" t="s">
        <v>75</v>
      </c>
      <c r="I52" s="428"/>
      <c r="J52" s="429"/>
      <c r="K52" s="430" t="s">
        <v>27</v>
      </c>
      <c r="L52" s="431"/>
      <c r="M52" s="431"/>
      <c r="N52" s="432"/>
      <c r="O52" s="433"/>
      <c r="P52" s="434"/>
    </row>
    <row r="53" spans="1:16" ht="27.75" customHeight="1" thickBot="1">
      <c r="A53" s="555"/>
      <c r="F53" s="467"/>
      <c r="G53" s="467"/>
      <c r="H53" s="561"/>
      <c r="I53" s="566"/>
      <c r="J53" s="567"/>
      <c r="K53" s="7"/>
      <c r="L53" s="7"/>
      <c r="M53" s="7"/>
      <c r="N53" s="9"/>
      <c r="O53" s="3"/>
      <c r="P53" s="4"/>
    </row>
    <row r="54" spans="1:16" ht="12" customHeight="1" thickBot="1">
      <c r="A54" s="360"/>
    </row>
    <row r="55" spans="1:16" ht="12" customHeight="1">
      <c r="A55" s="360"/>
      <c r="F55" s="125"/>
      <c r="G55" s="125"/>
      <c r="H55" s="5" t="s">
        <v>19</v>
      </c>
      <c r="I55" s="5"/>
      <c r="J55" s="427" t="s">
        <v>75</v>
      </c>
      <c r="K55" s="429"/>
      <c r="L55" s="430" t="s">
        <v>26</v>
      </c>
      <c r="M55" s="431"/>
      <c r="N55" s="432"/>
      <c r="O55" s="433"/>
      <c r="P55" s="435"/>
    </row>
    <row r="56" spans="1:16" ht="27.75" customHeight="1" thickBot="1">
      <c r="A56" s="360"/>
      <c r="F56" s="125"/>
      <c r="G56" s="125"/>
      <c r="J56" s="11"/>
      <c r="K56" s="10"/>
      <c r="L56" s="7"/>
      <c r="M56" s="7"/>
      <c r="N56" s="9"/>
      <c r="O56" s="3"/>
      <c r="P56" s="4"/>
    </row>
    <row r="59" spans="1:16">
      <c r="C59" s="318"/>
      <c r="D59" s="64"/>
      <c r="E59" s="64"/>
      <c r="F59" s="17"/>
      <c r="G59" s="17"/>
    </row>
    <row r="60" spans="1:16">
      <c r="C60" s="318"/>
      <c r="D60" s="64"/>
      <c r="E60" s="64"/>
      <c r="F60" s="17"/>
      <c r="G60" s="17"/>
    </row>
    <row r="61" spans="1:16">
      <c r="C61" s="318"/>
      <c r="D61" s="64"/>
      <c r="E61" s="64"/>
      <c r="F61" s="17"/>
      <c r="G61" s="17"/>
    </row>
    <row r="62" spans="1:16">
      <c r="C62" s="318"/>
      <c r="D62" s="64"/>
      <c r="E62" s="64"/>
      <c r="F62" s="17"/>
      <c r="G62" s="17"/>
    </row>
  </sheetData>
  <sheetProtection password="C38D" sheet="1" objects="1" scenarios="1"/>
  <mergeCells count="4">
    <mergeCell ref="A46:A53"/>
    <mergeCell ref="B10:C10"/>
    <mergeCell ref="J13:O13"/>
    <mergeCell ref="H53:J53"/>
  </mergeCells>
  <phoneticPr fontId="0" type="noConversion"/>
  <conditionalFormatting sqref="A14">
    <cfRule type="cellIs" dxfId="9" priority="1" stopIfTrue="1" operator="greaterThan">
      <formula>0</formula>
    </cfRule>
  </conditionalFormatting>
  <conditionalFormatting sqref="J45 L48:L49">
    <cfRule type="cellIs" dxfId="8" priority="2" stopIfTrue="1" operator="greaterThan">
      <formula>0</formula>
    </cfRule>
  </conditionalFormatting>
  <dataValidations count="1">
    <dataValidation allowBlank="1" showInputMessage="1" showErrorMessage="1" error="Timme och minut måste skiljas med_x000a_- kolon på pc_x000a_- punkt på Mac" sqref="L5 J14:M44" xr:uid="{00000000-0002-0000-0D00-000000000000}"/>
  </dataValidations>
  <printOptions verticalCentered="1"/>
  <pageMargins left="0.6692913385826772" right="0.47244094488188981" top="0.78740157480314965" bottom="0.62992125984251968" header="0.51181102362204722" footer="0.51181102362204722"/>
  <pageSetup paperSize="9" scale="87" orientation="portrait" blackAndWhite="1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Blad4227122">
    <pageSetUpPr fitToPage="1"/>
  </sheetPr>
  <dimension ref="A1:P62"/>
  <sheetViews>
    <sheetView showGridLines="0" showRowColHeaders="0" showZeros="0" topLeftCell="A9" zoomScale="80" workbookViewId="0">
      <pane ySplit="5" topLeftCell="A14" activePane="bottomLeft" state="frozenSplit"/>
      <selection activeCell="P9" sqref="P1:P65536"/>
      <selection pane="bottomLeft" activeCell="J15" sqref="J15"/>
    </sheetView>
  </sheetViews>
  <sheetFormatPr defaultColWidth="11.3828125" defaultRowHeight="12.45"/>
  <cols>
    <col min="1" max="1" width="2.84375" style="269" customWidth="1"/>
    <col min="2" max="2" width="8.84375" style="318" hidden="1" customWidth="1"/>
    <col min="3" max="3" width="4.53515625" style="320" hidden="1" customWidth="1"/>
    <col min="4" max="4" width="11.3828125" style="354" hidden="1" customWidth="1"/>
    <col min="5" max="5" width="8.3828125" style="354" hidden="1" customWidth="1"/>
    <col min="6" max="6" width="7.15234375" style="30" hidden="1" customWidth="1"/>
    <col min="7" max="7" width="1.53515625" style="30" hidden="1" customWidth="1"/>
    <col min="8" max="8" width="4.3828125" style="1" customWidth="1"/>
    <col min="9" max="9" width="7.53515625" style="1" customWidth="1"/>
    <col min="10" max="13" width="8.15234375" style="6" customWidth="1"/>
    <col min="14" max="14" width="11.07421875" style="8" customWidth="1"/>
    <col min="15" max="15" width="36.15234375" style="1" customWidth="1"/>
    <col min="16" max="16" width="11.15234375" style="1" customWidth="1"/>
    <col min="17" max="16384" width="11.3828125" style="1"/>
  </cols>
  <sheetData>
    <row r="1" spans="1:16" s="12" customFormat="1" ht="16" customHeight="1">
      <c r="A1" s="21" t="s">
        <v>30</v>
      </c>
      <c r="B1" s="315"/>
      <c r="C1" s="315"/>
      <c r="D1" s="272"/>
      <c r="E1" s="272"/>
      <c r="F1" s="272"/>
      <c r="G1" s="272"/>
      <c r="P1" s="174" t="s">
        <v>31</v>
      </c>
    </row>
    <row r="2" spans="1:16" s="115" customFormat="1" ht="14.25" customHeight="1">
      <c r="A2" s="145">
        <f>inst</f>
        <v>0</v>
      </c>
      <c r="B2" s="317"/>
      <c r="C2" s="317"/>
      <c r="D2" s="145"/>
      <c r="E2" s="145"/>
      <c r="F2" s="145"/>
      <c r="G2" s="145"/>
    </row>
    <row r="3" spans="1:16" s="166" customFormat="1" ht="15.75" customHeight="1">
      <c r="A3" s="17"/>
      <c r="B3" s="318"/>
      <c r="C3" s="318"/>
      <c r="D3" s="17"/>
      <c r="E3" s="17"/>
      <c r="F3" s="17"/>
      <c r="G3" s="17"/>
      <c r="L3" s="175"/>
    </row>
    <row r="4" spans="1:16" s="166" customFormat="1" ht="15.75" customHeight="1">
      <c r="A4" s="17"/>
      <c r="B4" s="318"/>
      <c r="C4" s="318"/>
      <c r="D4" s="176"/>
      <c r="E4" s="176"/>
      <c r="F4" s="17"/>
      <c r="G4" s="17"/>
      <c r="H4" s="17"/>
      <c r="I4" s="17"/>
      <c r="J4" s="17"/>
      <c r="K4" s="17"/>
      <c r="L4" s="17"/>
      <c r="M4" s="17"/>
      <c r="N4" s="17"/>
      <c r="O4" s="176" t="s">
        <v>34</v>
      </c>
      <c r="P4" s="32">
        <f>H14</f>
        <v>44074</v>
      </c>
    </row>
    <row r="5" spans="1:16" s="166" customFormat="1" ht="15.75" customHeight="1">
      <c r="A5" s="17"/>
      <c r="B5" s="318"/>
      <c r="C5" s="318"/>
      <c r="D5" s="176"/>
      <c r="E5" s="176"/>
      <c r="F5" s="17"/>
      <c r="G5" s="17"/>
      <c r="H5" s="17"/>
      <c r="I5" s="17"/>
      <c r="J5" s="17"/>
      <c r="K5" s="17"/>
      <c r="L5" s="17"/>
      <c r="M5" s="17"/>
      <c r="N5" s="17"/>
      <c r="O5" s="176" t="s">
        <v>33</v>
      </c>
      <c r="P5" s="33">
        <f>H14</f>
        <v>44074</v>
      </c>
    </row>
    <row r="6" spans="1:16" s="166" customFormat="1" ht="15.75" customHeight="1">
      <c r="A6" s="17"/>
      <c r="B6" s="17"/>
      <c r="C6" s="318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/>
      <c r="P6" s="17"/>
    </row>
    <row r="7" spans="1:16" ht="12.75" customHeight="1" thickBot="1">
      <c r="H7" s="422" t="s">
        <v>73</v>
      </c>
      <c r="I7" s="423"/>
      <c r="J7" s="423"/>
      <c r="K7" s="423"/>
      <c r="L7" s="423"/>
      <c r="M7" s="423"/>
      <c r="N7" s="422" t="s">
        <v>74</v>
      </c>
      <c r="O7" s="422" t="s">
        <v>72</v>
      </c>
      <c r="P7" s="424"/>
    </row>
    <row r="8" spans="1:16" s="2" customFormat="1" ht="17.25" customHeight="1" thickBot="1">
      <c r="A8" s="269"/>
      <c r="B8" s="318"/>
      <c r="C8" s="321"/>
      <c r="D8" s="453" t="s">
        <v>120</v>
      </c>
      <c r="E8" s="392">
        <f ca="1">INT((LEN(fel_1)+LEN(fel_2)+LEN(fel_3))/60)+COUNTIF(B14:C38,"1")</f>
        <v>3</v>
      </c>
      <c r="F8" s="323"/>
      <c r="G8" s="323"/>
      <c r="H8" s="39" t="str">
        <f>IF(namn&lt;&gt;"","  "&amp;namn,"")</f>
        <v/>
      </c>
      <c r="I8" s="40"/>
      <c r="J8" s="41"/>
      <c r="K8" s="41"/>
      <c r="L8" s="41"/>
      <c r="M8" s="41"/>
      <c r="N8" s="180">
        <f>tjänst</f>
        <v>1</v>
      </c>
      <c r="O8" s="42" t="str">
        <f>IF(p_nr&lt;&gt;"","  "&amp;p_nr,"")</f>
        <v/>
      </c>
      <c r="P8" s="287"/>
    </row>
    <row r="9" spans="1:16" s="2" customFormat="1" ht="3" customHeight="1">
      <c r="A9" s="269"/>
      <c r="B9" s="454"/>
      <c r="C9" s="455"/>
      <c r="D9" s="436"/>
      <c r="E9" s="436"/>
      <c r="F9" s="436"/>
      <c r="G9" s="402"/>
      <c r="H9" s="415"/>
      <c r="I9" s="415"/>
      <c r="J9" s="415"/>
      <c r="K9" s="415"/>
      <c r="L9" s="415"/>
      <c r="M9" s="415"/>
      <c r="N9" s="416"/>
      <c r="O9" s="417"/>
      <c r="P9" s="418"/>
    </row>
    <row r="10" spans="1:16" s="14" customFormat="1" ht="12.75" customHeight="1">
      <c r="A10" s="324"/>
      <c r="B10" s="559" t="s">
        <v>135</v>
      </c>
      <c r="C10" s="560"/>
      <c r="D10" s="437" t="s">
        <v>119</v>
      </c>
      <c r="E10" s="437" t="s">
        <v>121</v>
      </c>
      <c r="F10" s="438" t="s">
        <v>116</v>
      </c>
      <c r="G10" s="390"/>
      <c r="H10" s="409" t="s">
        <v>88</v>
      </c>
      <c r="I10" s="409" t="s">
        <v>39</v>
      </c>
      <c r="J10" s="410" t="s">
        <v>14</v>
      </c>
      <c r="K10" s="410" t="s">
        <v>15</v>
      </c>
      <c r="L10" s="410" t="s">
        <v>15</v>
      </c>
      <c r="M10" s="410" t="s">
        <v>14</v>
      </c>
      <c r="N10" s="411" t="s">
        <v>145</v>
      </c>
      <c r="O10" s="409" t="s">
        <v>76</v>
      </c>
      <c r="P10" s="412" t="s">
        <v>77</v>
      </c>
    </row>
    <row r="11" spans="1:16" s="14" customFormat="1" ht="12.75" customHeight="1">
      <c r="A11" s="324"/>
      <c r="B11" s="439" t="s">
        <v>118</v>
      </c>
      <c r="C11" s="456" t="s">
        <v>101</v>
      </c>
      <c r="D11" s="437" t="s">
        <v>118</v>
      </c>
      <c r="E11" s="437" t="s">
        <v>122</v>
      </c>
      <c r="F11" s="439" t="s">
        <v>117</v>
      </c>
      <c r="G11" s="391"/>
      <c r="H11" s="409" t="s">
        <v>9</v>
      </c>
      <c r="I11" s="409" t="s">
        <v>10</v>
      </c>
      <c r="J11" s="413" t="s">
        <v>16</v>
      </c>
      <c r="K11" s="414" t="s">
        <v>16</v>
      </c>
      <c r="L11" s="414" t="s">
        <v>17</v>
      </c>
      <c r="M11" s="410" t="s">
        <v>18</v>
      </c>
      <c r="N11" s="419" t="str">
        <f ca="1">IF(INFO("system")="mac","tim.minut","tim:minut")</f>
        <v>tim:minut</v>
      </c>
      <c r="O11" s="420" t="s">
        <v>164</v>
      </c>
      <c r="P11" s="421" t="s">
        <v>161</v>
      </c>
    </row>
    <row r="12" spans="1:16" s="2" customFormat="1" ht="3" customHeight="1">
      <c r="A12" s="269"/>
      <c r="B12" s="439"/>
      <c r="C12" s="456"/>
      <c r="D12" s="439"/>
      <c r="E12" s="439"/>
      <c r="F12" s="439"/>
      <c r="G12" s="402"/>
      <c r="H12" s="409"/>
      <c r="I12" s="409"/>
      <c r="J12" s="409"/>
      <c r="K12" s="409"/>
      <c r="L12" s="409"/>
      <c r="M12" s="409"/>
      <c r="N12" s="425"/>
      <c r="O12" s="412"/>
      <c r="P12" s="426"/>
    </row>
    <row r="13" spans="1:16" s="172" customFormat="1" ht="18" customHeight="1" thickBot="1">
      <c r="A13" s="329"/>
      <c r="B13" s="449" t="s">
        <v>10</v>
      </c>
      <c r="C13" s="457" t="s">
        <v>102</v>
      </c>
      <c r="D13" s="448" t="s">
        <v>22</v>
      </c>
      <c r="E13" s="448" t="s">
        <v>123</v>
      </c>
      <c r="F13" s="449" t="s">
        <v>142</v>
      </c>
      <c r="G13" s="401"/>
      <c r="H13" s="167" t="str">
        <f>IF(LEN(J13)&gt;0,"  INFO:","")</f>
        <v xml:space="preserve">  INFO:</v>
      </c>
      <c r="I13" s="168"/>
      <c r="J13" s="544" t="str">
        <f>IF(LEN(fel_1)&gt;0,fel_1,IF(LEN(fel_2)&gt;0,fel_2,IF(LEN(fel_3)&gt;0,fel_3,IF(LEN(fel_4)&gt;0,fel_4,IF(SUMIF(B14:B44,"&gt;0"),semfel_1&amp;TEXT(VLOOKUP(1,B14:P44,7),"D MMM")&amp;semfel_2,IF(COUNTIF(C14:C44,"1"),ändr_fel,""))))))</f>
        <v>Du har glömt ange namn och/eller personnr på fliken "Grunddata"!</v>
      </c>
      <c r="K13" s="545"/>
      <c r="L13" s="545"/>
      <c r="M13" s="545"/>
      <c r="N13" s="545"/>
      <c r="O13" s="545"/>
      <c r="P13" s="171" t="str">
        <f ca="1">IF(E8&gt;1,"Tot. "&amp;E8&amp;" fel","")</f>
        <v>Tot. 3 fel</v>
      </c>
    </row>
    <row r="14" spans="1:16" ht="17.25" customHeight="1">
      <c r="A14" s="334"/>
      <c r="B14" s="479" t="str">
        <f t="shared" ref="B14:B44" ca="1" si="0">IF(AND(F14="ej sem",OR(LEFT(O14,3)="sem",LEFT(O14,4)="sjuk")),1,"")</f>
        <v/>
      </c>
      <c r="C14" s="480" t="str">
        <f t="shared" ref="C14:C44" ca="1" si="1">IF(NOT(ISERROR(E14)),"",IF(N14&lt;&gt;"",IF(ERROR.TYPE(E14)=3,1,),))</f>
        <v/>
      </c>
      <c r="D14" s="388">
        <f t="shared" ref="D14:D44" ca="1" si="2">IF(TODAY()&gt;=H14,IF(AND(LEFT(O14,3)="SEM",F14&lt;&gt;"ej sem"),1,IF(AND(LEFT(O14,4)="sjuk",F14&lt;&gt;"ej sem"),100,0)),0)</f>
        <v>0</v>
      </c>
      <c r="E14" s="381">
        <f t="shared" ref="E14:E44" ca="1" si="3">IF(AND(TODAY()&gt;=H14,F14&gt;0,OR(J14&gt;0,L14&gt;0,N14&lt;&gt;0)),((M14-L14+K14-J14)+IF(ISBLANK(N14),0,IF(LEFT(N14,1)="-",-TIMEVALUE(RIGHT(N14,LEN(N14)-1)),IF(LEFT(N14,1)="+",TIMEVALUE(RIGHT(N14,LEN(N14)-1)),TIMEVALUE(N14)))))*24,IF(OR(D14=1,D14=100),F14*tjänst,0))</f>
        <v>0</v>
      </c>
      <c r="F14" s="183">
        <f ca="1">IF(AND(H14&gt;=startdag,H14&lt;=slutdag),IF(TODAY()&gt;=H14,Normtid!AB5,0),0)</f>
        <v>0</v>
      </c>
      <c r="G14" s="403"/>
      <c r="H14" s="375">
        <f>Normtid!AA5</f>
        <v>44074</v>
      </c>
      <c r="I14" s="376" t="str">
        <f t="shared" ref="I14:I43" si="4">PROPER(TEXT(WEEKDAY(H14)+1,"DDD"))</f>
        <v>Sön</v>
      </c>
      <c r="J14" s="377"/>
      <c r="K14" s="377"/>
      <c r="L14" s="377"/>
      <c r="M14" s="378"/>
      <c r="N14" s="379"/>
      <c r="O14" s="385" t="str">
        <f>Normtid!$AC5</f>
        <v/>
      </c>
      <c r="P14" s="381">
        <f ca="1">IF(E14&lt;&gt;0,E14,0)</f>
        <v>0</v>
      </c>
    </row>
    <row r="15" spans="1:16" ht="15.75" customHeight="1">
      <c r="B15" s="460" t="str">
        <f t="shared" ca="1" si="0"/>
        <v/>
      </c>
      <c r="C15" s="461" t="str">
        <f t="shared" ca="1" si="1"/>
        <v/>
      </c>
      <c r="D15" s="195">
        <f t="shared" ca="1" si="2"/>
        <v>0</v>
      </c>
      <c r="E15" s="196">
        <f t="shared" ca="1" si="3"/>
        <v>0</v>
      </c>
      <c r="F15" s="191">
        <f ca="1">IF(AND(H15&gt;=startdag,H15&lt;=slutdag),IF(TODAY()&gt;=H15,Normtid!AB6,0),0)</f>
        <v>0</v>
      </c>
      <c r="G15" s="403"/>
      <c r="H15" s="189">
        <f>Normtid!AA6</f>
        <v>44075</v>
      </c>
      <c r="I15" s="190" t="str">
        <f t="shared" si="4"/>
        <v>Mån</v>
      </c>
      <c r="J15" s="192"/>
      <c r="K15" s="192"/>
      <c r="L15" s="192"/>
      <c r="M15" s="202"/>
      <c r="N15" s="383"/>
      <c r="O15" s="203" t="str">
        <f>Normtid!$AC6</f>
        <v/>
      </c>
      <c r="P15" s="196">
        <f t="shared" ref="P15:P44" ca="1" si="5">IF(E15&lt;&gt;0,E15,0)</f>
        <v>0</v>
      </c>
    </row>
    <row r="16" spans="1:16" ht="15.75" customHeight="1">
      <c r="B16" s="462" t="str">
        <f t="shared" ca="1" si="0"/>
        <v/>
      </c>
      <c r="C16" s="463" t="str">
        <f t="shared" ca="1" si="1"/>
        <v/>
      </c>
      <c r="D16" s="388">
        <f t="shared" ca="1" si="2"/>
        <v>0</v>
      </c>
      <c r="E16" s="188">
        <f t="shared" ca="1" si="3"/>
        <v>0</v>
      </c>
      <c r="F16" s="183">
        <f ca="1">IF(AND(H16&gt;=startdag,H16&lt;=slutdag),IF(TODAY()&gt;=H16,Normtid!AB7,0),0)</f>
        <v>0</v>
      </c>
      <c r="G16" s="403"/>
      <c r="H16" s="181">
        <f>Normtid!AA7</f>
        <v>44076</v>
      </c>
      <c r="I16" s="182" t="str">
        <f t="shared" si="4"/>
        <v>Tis</v>
      </c>
      <c r="J16" s="184"/>
      <c r="K16" s="184"/>
      <c r="L16" s="184"/>
      <c r="M16" s="204"/>
      <c r="N16" s="379"/>
      <c r="O16" s="205" t="str">
        <f>Normtid!$AC7</f>
        <v/>
      </c>
      <c r="P16" s="188">
        <f t="shared" ca="1" si="5"/>
        <v>0</v>
      </c>
    </row>
    <row r="17" spans="2:16" ht="15.75" customHeight="1">
      <c r="B17" s="460" t="str">
        <f t="shared" ca="1" si="0"/>
        <v/>
      </c>
      <c r="C17" s="461" t="str">
        <f t="shared" ca="1" si="1"/>
        <v/>
      </c>
      <c r="D17" s="195">
        <f t="shared" ca="1" si="2"/>
        <v>0</v>
      </c>
      <c r="E17" s="196">
        <f t="shared" ca="1" si="3"/>
        <v>0</v>
      </c>
      <c r="F17" s="191">
        <f ca="1">IF(AND(H17&gt;=startdag,H17&lt;=slutdag),IF(TODAY()&gt;=H17,Normtid!AB8,0),0)</f>
        <v>0</v>
      </c>
      <c r="G17" s="403"/>
      <c r="H17" s="189">
        <f>Normtid!AA8</f>
        <v>44077</v>
      </c>
      <c r="I17" s="190" t="str">
        <f t="shared" si="4"/>
        <v>Ons</v>
      </c>
      <c r="J17" s="192"/>
      <c r="K17" s="192"/>
      <c r="L17" s="192"/>
      <c r="M17" s="202"/>
      <c r="N17" s="383"/>
      <c r="O17" s="203" t="str">
        <f>Normtid!$AC8</f>
        <v/>
      </c>
      <c r="P17" s="196">
        <f t="shared" ca="1" si="5"/>
        <v>0</v>
      </c>
    </row>
    <row r="18" spans="2:16" ht="15.75" customHeight="1">
      <c r="B18" s="462" t="str">
        <f t="shared" ca="1" si="0"/>
        <v/>
      </c>
      <c r="C18" s="463" t="str">
        <f t="shared" ca="1" si="1"/>
        <v/>
      </c>
      <c r="D18" s="388">
        <f t="shared" ca="1" si="2"/>
        <v>0</v>
      </c>
      <c r="E18" s="188">
        <f t="shared" ca="1" si="3"/>
        <v>0</v>
      </c>
      <c r="F18" s="183">
        <f ca="1">IF(AND(H18&gt;=startdag,H18&lt;=slutdag),IF(TODAY()&gt;=H18,Normtid!AB9,0),0)</f>
        <v>0</v>
      </c>
      <c r="G18" s="403"/>
      <c r="H18" s="181">
        <f>Normtid!AA9</f>
        <v>44078</v>
      </c>
      <c r="I18" s="182" t="str">
        <f t="shared" si="4"/>
        <v>Tor</v>
      </c>
      <c r="J18" s="184"/>
      <c r="K18" s="184"/>
      <c r="L18" s="184"/>
      <c r="M18" s="204"/>
      <c r="N18" s="379"/>
      <c r="O18" s="205" t="str">
        <f>Normtid!$AC9</f>
        <v/>
      </c>
      <c r="P18" s="188">
        <f t="shared" ca="1" si="5"/>
        <v>0</v>
      </c>
    </row>
    <row r="19" spans="2:16" ht="15.75" customHeight="1">
      <c r="B19" s="460" t="str">
        <f t="shared" ca="1" si="0"/>
        <v/>
      </c>
      <c r="C19" s="461" t="str">
        <f t="shared" ca="1" si="1"/>
        <v/>
      </c>
      <c r="D19" s="195">
        <f t="shared" ca="1" si="2"/>
        <v>0</v>
      </c>
      <c r="E19" s="196">
        <f t="shared" ca="1" si="3"/>
        <v>0</v>
      </c>
      <c r="F19" s="191">
        <f ca="1">IF(AND(H19&gt;=startdag,H19&lt;=slutdag),IF(TODAY()&gt;=H19,Normtid!AB10,0),0)</f>
        <v>0</v>
      </c>
      <c r="G19" s="403"/>
      <c r="H19" s="189">
        <f>Normtid!AA10</f>
        <v>44079</v>
      </c>
      <c r="I19" s="190" t="str">
        <f t="shared" si="4"/>
        <v>Fre</v>
      </c>
      <c r="J19" s="192"/>
      <c r="K19" s="192"/>
      <c r="L19" s="192"/>
      <c r="M19" s="202"/>
      <c r="N19" s="383"/>
      <c r="O19" s="203" t="str">
        <f>Normtid!$AC10</f>
        <v/>
      </c>
      <c r="P19" s="196">
        <f t="shared" ca="1" si="5"/>
        <v>0</v>
      </c>
    </row>
    <row r="20" spans="2:16" ht="15.75" customHeight="1">
      <c r="B20" s="462" t="str">
        <f t="shared" ca="1" si="0"/>
        <v/>
      </c>
      <c r="C20" s="463" t="str">
        <f t="shared" ca="1" si="1"/>
        <v/>
      </c>
      <c r="D20" s="388">
        <f t="shared" ca="1" si="2"/>
        <v>0</v>
      </c>
      <c r="E20" s="188">
        <f t="shared" ca="1" si="3"/>
        <v>0</v>
      </c>
      <c r="F20" s="183">
        <f ca="1">IF(AND(H20&gt;=startdag,H20&lt;=slutdag),IF(TODAY()&gt;=H20,Normtid!AB11,0),0)</f>
        <v>0</v>
      </c>
      <c r="G20" s="403"/>
      <c r="H20" s="181">
        <f>Normtid!AA11</f>
        <v>44080</v>
      </c>
      <c r="I20" s="182" t="str">
        <f t="shared" si="4"/>
        <v>Lör</v>
      </c>
      <c r="J20" s="184"/>
      <c r="K20" s="184"/>
      <c r="L20" s="184"/>
      <c r="M20" s="204"/>
      <c r="N20" s="379"/>
      <c r="O20" s="205"/>
      <c r="P20" s="188">
        <f t="shared" ca="1" si="5"/>
        <v>0</v>
      </c>
    </row>
    <row r="21" spans="2:16" ht="15.75" customHeight="1">
      <c r="B21" s="460" t="str">
        <f t="shared" ca="1" si="0"/>
        <v/>
      </c>
      <c r="C21" s="461" t="str">
        <f t="shared" ca="1" si="1"/>
        <v/>
      </c>
      <c r="D21" s="195">
        <f t="shared" ca="1" si="2"/>
        <v>0</v>
      </c>
      <c r="E21" s="196">
        <f t="shared" ca="1" si="3"/>
        <v>0</v>
      </c>
      <c r="F21" s="191">
        <f ca="1">IF(AND(H21&gt;=startdag,H21&lt;=slutdag),IF(TODAY()&gt;=H21,Normtid!AB12,0),0)</f>
        <v>0</v>
      </c>
      <c r="G21" s="403"/>
      <c r="H21" s="189">
        <f>Normtid!AA12</f>
        <v>44081</v>
      </c>
      <c r="I21" s="190" t="str">
        <f t="shared" si="4"/>
        <v>Sön</v>
      </c>
      <c r="J21" s="192"/>
      <c r="K21" s="192"/>
      <c r="L21" s="192"/>
      <c r="M21" s="202"/>
      <c r="N21" s="383"/>
      <c r="O21" s="203" t="str">
        <f>Normtid!$AC12</f>
        <v/>
      </c>
      <c r="P21" s="196">
        <f t="shared" ca="1" si="5"/>
        <v>0</v>
      </c>
    </row>
    <row r="22" spans="2:16" ht="15.75" customHeight="1">
      <c r="B22" s="462" t="str">
        <f t="shared" ca="1" si="0"/>
        <v/>
      </c>
      <c r="C22" s="463" t="str">
        <f t="shared" ca="1" si="1"/>
        <v/>
      </c>
      <c r="D22" s="388">
        <f t="shared" ca="1" si="2"/>
        <v>0</v>
      </c>
      <c r="E22" s="188">
        <f t="shared" ca="1" si="3"/>
        <v>0</v>
      </c>
      <c r="F22" s="183">
        <f ca="1">IF(AND(H22&gt;=startdag,H22&lt;=slutdag),IF(TODAY()&gt;=H22,Normtid!AB13,0),0)</f>
        <v>0</v>
      </c>
      <c r="G22" s="403"/>
      <c r="H22" s="181">
        <f>Normtid!AA13</f>
        <v>44082</v>
      </c>
      <c r="I22" s="182" t="str">
        <f t="shared" si="4"/>
        <v>Mån</v>
      </c>
      <c r="J22" s="184"/>
      <c r="K22" s="184"/>
      <c r="L22" s="184"/>
      <c r="M22" s="204"/>
      <c r="N22" s="379"/>
      <c r="O22" s="205" t="str">
        <f>Normtid!$AC13</f>
        <v/>
      </c>
      <c r="P22" s="188">
        <f t="shared" ca="1" si="5"/>
        <v>0</v>
      </c>
    </row>
    <row r="23" spans="2:16" ht="15.75" customHeight="1">
      <c r="B23" s="460" t="str">
        <f t="shared" ca="1" si="0"/>
        <v/>
      </c>
      <c r="C23" s="461" t="str">
        <f t="shared" ca="1" si="1"/>
        <v/>
      </c>
      <c r="D23" s="195">
        <f t="shared" ca="1" si="2"/>
        <v>0</v>
      </c>
      <c r="E23" s="196">
        <f t="shared" ca="1" si="3"/>
        <v>0</v>
      </c>
      <c r="F23" s="191">
        <f ca="1">IF(AND(H23&gt;=startdag,H23&lt;=slutdag),IF(TODAY()&gt;=H23,Normtid!AB14,0),0)</f>
        <v>0</v>
      </c>
      <c r="G23" s="403"/>
      <c r="H23" s="189">
        <f>Normtid!AA14</f>
        <v>44083</v>
      </c>
      <c r="I23" s="190" t="str">
        <f t="shared" si="4"/>
        <v>Tis</v>
      </c>
      <c r="J23" s="192"/>
      <c r="K23" s="192"/>
      <c r="L23" s="192"/>
      <c r="M23" s="202"/>
      <c r="N23" s="383"/>
      <c r="O23" s="203" t="str">
        <f>Normtid!$AC14</f>
        <v/>
      </c>
      <c r="P23" s="196">
        <f t="shared" ca="1" si="5"/>
        <v>0</v>
      </c>
    </row>
    <row r="24" spans="2:16" ht="15.75" customHeight="1">
      <c r="B24" s="462" t="str">
        <f t="shared" ca="1" si="0"/>
        <v/>
      </c>
      <c r="C24" s="463" t="str">
        <f t="shared" ca="1" si="1"/>
        <v/>
      </c>
      <c r="D24" s="388">
        <f t="shared" ca="1" si="2"/>
        <v>0</v>
      </c>
      <c r="E24" s="188">
        <f t="shared" ca="1" si="3"/>
        <v>0</v>
      </c>
      <c r="F24" s="183">
        <f ca="1">IF(AND(H24&gt;=startdag,H24&lt;=slutdag),IF(TODAY()&gt;=H24,Normtid!AB15,0),0)</f>
        <v>0</v>
      </c>
      <c r="G24" s="403"/>
      <c r="H24" s="181">
        <f>Normtid!AA15</f>
        <v>44084</v>
      </c>
      <c r="I24" s="182" t="str">
        <f t="shared" si="4"/>
        <v>Ons</v>
      </c>
      <c r="J24" s="184"/>
      <c r="K24" s="184"/>
      <c r="L24" s="184"/>
      <c r="M24" s="204"/>
      <c r="N24" s="379"/>
      <c r="O24" s="205" t="str">
        <f>Normtid!$AC15</f>
        <v/>
      </c>
      <c r="P24" s="188">
        <f t="shared" ca="1" si="5"/>
        <v>0</v>
      </c>
    </row>
    <row r="25" spans="2:16" ht="15.75" customHeight="1">
      <c r="B25" s="460" t="str">
        <f t="shared" ca="1" si="0"/>
        <v/>
      </c>
      <c r="C25" s="461" t="str">
        <f t="shared" ca="1" si="1"/>
        <v/>
      </c>
      <c r="D25" s="195">
        <f t="shared" ca="1" si="2"/>
        <v>0</v>
      </c>
      <c r="E25" s="196">
        <f t="shared" ca="1" si="3"/>
        <v>0</v>
      </c>
      <c r="F25" s="191">
        <f ca="1">IF(AND(H25&gt;=startdag,H25&lt;=slutdag),IF(TODAY()&gt;=H25,Normtid!AB16,0),0)</f>
        <v>0</v>
      </c>
      <c r="G25" s="403"/>
      <c r="H25" s="189">
        <f>Normtid!AA16</f>
        <v>44085</v>
      </c>
      <c r="I25" s="190" t="str">
        <f t="shared" si="4"/>
        <v>Tor</v>
      </c>
      <c r="J25" s="192"/>
      <c r="K25" s="192"/>
      <c r="L25" s="192"/>
      <c r="M25" s="202"/>
      <c r="N25" s="383"/>
      <c r="O25" s="203" t="str">
        <f>Normtid!$AC16</f>
        <v/>
      </c>
      <c r="P25" s="196">
        <f t="shared" ca="1" si="5"/>
        <v>0</v>
      </c>
    </row>
    <row r="26" spans="2:16" ht="15.75" customHeight="1">
      <c r="B26" s="462" t="str">
        <f t="shared" ca="1" si="0"/>
        <v/>
      </c>
      <c r="C26" s="463" t="str">
        <f t="shared" ca="1" si="1"/>
        <v/>
      </c>
      <c r="D26" s="388">
        <f t="shared" ca="1" si="2"/>
        <v>0</v>
      </c>
      <c r="E26" s="188">
        <f t="shared" ca="1" si="3"/>
        <v>0</v>
      </c>
      <c r="F26" s="183">
        <f ca="1">IF(AND(H26&gt;=startdag,H26&lt;=slutdag),IF(TODAY()&gt;=H26,Normtid!AB17,0),0)</f>
        <v>0</v>
      </c>
      <c r="G26" s="403"/>
      <c r="H26" s="181">
        <f>Normtid!AA17</f>
        <v>44086</v>
      </c>
      <c r="I26" s="182" t="str">
        <f t="shared" si="4"/>
        <v>Fre</v>
      </c>
      <c r="J26" s="184"/>
      <c r="K26" s="184"/>
      <c r="L26" s="184"/>
      <c r="M26" s="204"/>
      <c r="N26" s="379"/>
      <c r="O26" s="205" t="str">
        <f>Normtid!$AC17</f>
        <v/>
      </c>
      <c r="P26" s="188">
        <f t="shared" ca="1" si="5"/>
        <v>0</v>
      </c>
    </row>
    <row r="27" spans="2:16" ht="15.75" customHeight="1">
      <c r="B27" s="460" t="str">
        <f t="shared" ca="1" si="0"/>
        <v/>
      </c>
      <c r="C27" s="461" t="str">
        <f t="shared" ca="1" si="1"/>
        <v/>
      </c>
      <c r="D27" s="195">
        <f t="shared" ca="1" si="2"/>
        <v>0</v>
      </c>
      <c r="E27" s="196">
        <f t="shared" ca="1" si="3"/>
        <v>0</v>
      </c>
      <c r="F27" s="191">
        <f ca="1">IF(AND(H27&gt;=startdag,H27&lt;=slutdag),IF(TODAY()&gt;=H27,Normtid!AB18,0),0)</f>
        <v>0</v>
      </c>
      <c r="G27" s="403"/>
      <c r="H27" s="189">
        <f>Normtid!AA18</f>
        <v>44087</v>
      </c>
      <c r="I27" s="190" t="str">
        <f t="shared" si="4"/>
        <v>Lör</v>
      </c>
      <c r="J27" s="192"/>
      <c r="K27" s="192"/>
      <c r="L27" s="192"/>
      <c r="M27" s="202"/>
      <c r="N27" s="383"/>
      <c r="O27" s="203" t="str">
        <f>Normtid!$AC18</f>
        <v/>
      </c>
      <c r="P27" s="196">
        <f t="shared" ca="1" si="5"/>
        <v>0</v>
      </c>
    </row>
    <row r="28" spans="2:16" ht="15.75" customHeight="1">
      <c r="B28" s="462" t="str">
        <f t="shared" ca="1" si="0"/>
        <v/>
      </c>
      <c r="C28" s="463" t="str">
        <f t="shared" ca="1" si="1"/>
        <v/>
      </c>
      <c r="D28" s="388">
        <f t="shared" ca="1" si="2"/>
        <v>0</v>
      </c>
      <c r="E28" s="188">
        <f t="shared" ca="1" si="3"/>
        <v>0</v>
      </c>
      <c r="F28" s="183">
        <f ca="1">IF(AND(H28&gt;=startdag,H28&lt;=slutdag),IF(TODAY()&gt;=H28,Normtid!AB19,0),0)</f>
        <v>0</v>
      </c>
      <c r="G28" s="403"/>
      <c r="H28" s="181">
        <f>Normtid!AA19</f>
        <v>44088</v>
      </c>
      <c r="I28" s="182" t="str">
        <f t="shared" si="4"/>
        <v>Sön</v>
      </c>
      <c r="J28" s="184"/>
      <c r="K28" s="184"/>
      <c r="L28" s="184"/>
      <c r="M28" s="204"/>
      <c r="N28" s="379"/>
      <c r="O28" s="205" t="str">
        <f>Normtid!$AC19</f>
        <v/>
      </c>
      <c r="P28" s="188">
        <f t="shared" ca="1" si="5"/>
        <v>0</v>
      </c>
    </row>
    <row r="29" spans="2:16" ht="15.75" customHeight="1">
      <c r="B29" s="460" t="str">
        <f t="shared" ca="1" si="0"/>
        <v/>
      </c>
      <c r="C29" s="461" t="str">
        <f t="shared" ca="1" si="1"/>
        <v/>
      </c>
      <c r="D29" s="195">
        <f t="shared" ca="1" si="2"/>
        <v>0</v>
      </c>
      <c r="E29" s="196">
        <f t="shared" ca="1" si="3"/>
        <v>0</v>
      </c>
      <c r="F29" s="191">
        <f ca="1">IF(AND(H29&gt;=startdag,H29&lt;=slutdag),IF(TODAY()&gt;=H29,Normtid!AB20,0),0)</f>
        <v>0</v>
      </c>
      <c r="G29" s="403"/>
      <c r="H29" s="189">
        <f>Normtid!AA20</f>
        <v>44089</v>
      </c>
      <c r="I29" s="190" t="str">
        <f t="shared" si="4"/>
        <v>Mån</v>
      </c>
      <c r="J29" s="192"/>
      <c r="K29" s="192"/>
      <c r="L29" s="192"/>
      <c r="M29" s="202"/>
      <c r="N29" s="383"/>
      <c r="O29" s="203" t="str">
        <f>Normtid!$AC20</f>
        <v/>
      </c>
      <c r="P29" s="196">
        <f t="shared" ca="1" si="5"/>
        <v>0</v>
      </c>
    </row>
    <row r="30" spans="2:16" ht="15.75" customHeight="1">
      <c r="B30" s="462" t="str">
        <f t="shared" ca="1" si="0"/>
        <v/>
      </c>
      <c r="C30" s="463" t="str">
        <f t="shared" ca="1" si="1"/>
        <v/>
      </c>
      <c r="D30" s="388">
        <f t="shared" ca="1" si="2"/>
        <v>0</v>
      </c>
      <c r="E30" s="188">
        <f t="shared" ca="1" si="3"/>
        <v>0</v>
      </c>
      <c r="F30" s="183">
        <f ca="1">IF(AND(H30&gt;=startdag,H30&lt;=slutdag),IF(TODAY()&gt;=H30,Normtid!AB21,0),0)</f>
        <v>0</v>
      </c>
      <c r="G30" s="403"/>
      <c r="H30" s="181">
        <f>Normtid!AA21</f>
        <v>44090</v>
      </c>
      <c r="I30" s="182" t="str">
        <f t="shared" si="4"/>
        <v>Tis</v>
      </c>
      <c r="J30" s="184"/>
      <c r="K30" s="184"/>
      <c r="L30" s="184"/>
      <c r="M30" s="204"/>
      <c r="N30" s="379"/>
      <c r="O30" s="205" t="str">
        <f>Normtid!$AC21</f>
        <v/>
      </c>
      <c r="P30" s="188">
        <f t="shared" ca="1" si="5"/>
        <v>0</v>
      </c>
    </row>
    <row r="31" spans="2:16" ht="15.75" customHeight="1">
      <c r="B31" s="460" t="str">
        <f t="shared" ca="1" si="0"/>
        <v/>
      </c>
      <c r="C31" s="461" t="str">
        <f t="shared" ca="1" si="1"/>
        <v/>
      </c>
      <c r="D31" s="195">
        <f t="shared" ca="1" si="2"/>
        <v>0</v>
      </c>
      <c r="E31" s="196">
        <f t="shared" ca="1" si="3"/>
        <v>0</v>
      </c>
      <c r="F31" s="191">
        <f ca="1">IF(AND(H31&gt;=startdag,H31&lt;=slutdag),IF(TODAY()&gt;=H31,Normtid!AB22,0),0)</f>
        <v>0</v>
      </c>
      <c r="G31" s="403"/>
      <c r="H31" s="189">
        <f>Normtid!AA22</f>
        <v>44091</v>
      </c>
      <c r="I31" s="190" t="str">
        <f t="shared" si="4"/>
        <v>Ons</v>
      </c>
      <c r="J31" s="192"/>
      <c r="K31" s="192"/>
      <c r="L31" s="192"/>
      <c r="M31" s="202"/>
      <c r="N31" s="383"/>
      <c r="O31" s="203" t="str">
        <f>Normtid!$AC22</f>
        <v/>
      </c>
      <c r="P31" s="196">
        <f t="shared" ca="1" si="5"/>
        <v>0</v>
      </c>
    </row>
    <row r="32" spans="2:16" ht="15.75" customHeight="1">
      <c r="B32" s="462" t="str">
        <f t="shared" ca="1" si="0"/>
        <v/>
      </c>
      <c r="C32" s="463" t="str">
        <f t="shared" ca="1" si="1"/>
        <v/>
      </c>
      <c r="D32" s="388">
        <f t="shared" ca="1" si="2"/>
        <v>0</v>
      </c>
      <c r="E32" s="188">
        <f t="shared" ca="1" si="3"/>
        <v>0</v>
      </c>
      <c r="F32" s="183">
        <f ca="1">IF(AND(H32&gt;=startdag,H32&lt;=slutdag),IF(TODAY()&gt;=H32,Normtid!AB23,0),0)</f>
        <v>0</v>
      </c>
      <c r="G32" s="403"/>
      <c r="H32" s="181">
        <f>Normtid!AA23</f>
        <v>44092</v>
      </c>
      <c r="I32" s="182" t="str">
        <f t="shared" si="4"/>
        <v>Tor</v>
      </c>
      <c r="J32" s="184"/>
      <c r="K32" s="184"/>
      <c r="L32" s="184"/>
      <c r="M32" s="204"/>
      <c r="N32" s="379"/>
      <c r="O32" s="205" t="str">
        <f>Normtid!$AC23</f>
        <v/>
      </c>
      <c r="P32" s="188">
        <f t="shared" ca="1" si="5"/>
        <v>0</v>
      </c>
    </row>
    <row r="33" spans="1:16" ht="15.75" customHeight="1">
      <c r="B33" s="460" t="str">
        <f t="shared" ca="1" si="0"/>
        <v/>
      </c>
      <c r="C33" s="461" t="str">
        <f t="shared" ca="1" si="1"/>
        <v/>
      </c>
      <c r="D33" s="195">
        <f t="shared" ca="1" si="2"/>
        <v>0</v>
      </c>
      <c r="E33" s="196">
        <f t="shared" ca="1" si="3"/>
        <v>0</v>
      </c>
      <c r="F33" s="191">
        <f ca="1">IF(AND(H33&gt;=startdag,H33&lt;=slutdag),IF(TODAY()&gt;=H33,Normtid!AB24,0),0)</f>
        <v>0</v>
      </c>
      <c r="G33" s="403"/>
      <c r="H33" s="189">
        <f>Normtid!AA24</f>
        <v>44093</v>
      </c>
      <c r="I33" s="190" t="str">
        <f t="shared" si="4"/>
        <v>Fre</v>
      </c>
      <c r="J33" s="192"/>
      <c r="K33" s="192"/>
      <c r="L33" s="192"/>
      <c r="M33" s="202"/>
      <c r="N33" s="383"/>
      <c r="O33" s="203" t="str">
        <f>Normtid!$AC24</f>
        <v/>
      </c>
      <c r="P33" s="196">
        <f t="shared" ca="1" si="5"/>
        <v>0</v>
      </c>
    </row>
    <row r="34" spans="1:16" ht="15.75" customHeight="1">
      <c r="B34" s="462" t="str">
        <f t="shared" ca="1" si="0"/>
        <v/>
      </c>
      <c r="C34" s="463" t="str">
        <f t="shared" ca="1" si="1"/>
        <v/>
      </c>
      <c r="D34" s="388">
        <f t="shared" ca="1" si="2"/>
        <v>0</v>
      </c>
      <c r="E34" s="188">
        <f t="shared" ca="1" si="3"/>
        <v>0</v>
      </c>
      <c r="F34" s="183">
        <f ca="1">IF(AND(H34&gt;=startdag,H34&lt;=slutdag),IF(TODAY()&gt;=H34,Normtid!AB25,0),0)</f>
        <v>0</v>
      </c>
      <c r="G34" s="403"/>
      <c r="H34" s="181">
        <f>Normtid!AA25</f>
        <v>44094</v>
      </c>
      <c r="I34" s="182" t="str">
        <f t="shared" si="4"/>
        <v>Lör</v>
      </c>
      <c r="J34" s="184"/>
      <c r="K34" s="184"/>
      <c r="L34" s="184"/>
      <c r="M34" s="204"/>
      <c r="N34" s="379"/>
      <c r="O34" s="205" t="str">
        <f>Normtid!$AC25</f>
        <v/>
      </c>
      <c r="P34" s="188">
        <f t="shared" ca="1" si="5"/>
        <v>0</v>
      </c>
    </row>
    <row r="35" spans="1:16" ht="15.75" customHeight="1">
      <c r="B35" s="460" t="str">
        <f t="shared" ca="1" si="0"/>
        <v/>
      </c>
      <c r="C35" s="461" t="str">
        <f t="shared" ca="1" si="1"/>
        <v/>
      </c>
      <c r="D35" s="195">
        <f t="shared" ca="1" si="2"/>
        <v>0</v>
      </c>
      <c r="E35" s="196">
        <f t="shared" ca="1" si="3"/>
        <v>0</v>
      </c>
      <c r="F35" s="191">
        <f ca="1">IF(AND(H35&gt;=startdag,H35&lt;=slutdag),IF(TODAY()&gt;=H35,Normtid!AB26,0),0)</f>
        <v>0</v>
      </c>
      <c r="G35" s="403"/>
      <c r="H35" s="189">
        <f>Normtid!AA26</f>
        <v>44095</v>
      </c>
      <c r="I35" s="190" t="str">
        <f t="shared" si="4"/>
        <v>Sön</v>
      </c>
      <c r="J35" s="192"/>
      <c r="K35" s="192"/>
      <c r="L35" s="192"/>
      <c r="M35" s="202"/>
      <c r="N35" s="383"/>
      <c r="O35" s="203" t="str">
        <f>Normtid!$AC26</f>
        <v/>
      </c>
      <c r="P35" s="196">
        <f t="shared" ca="1" si="5"/>
        <v>0</v>
      </c>
    </row>
    <row r="36" spans="1:16" ht="15.75" customHeight="1">
      <c r="B36" s="462" t="str">
        <f t="shared" ca="1" si="0"/>
        <v/>
      </c>
      <c r="C36" s="463" t="str">
        <f t="shared" ca="1" si="1"/>
        <v/>
      </c>
      <c r="D36" s="388">
        <f t="shared" ca="1" si="2"/>
        <v>0</v>
      </c>
      <c r="E36" s="188">
        <f t="shared" ca="1" si="3"/>
        <v>0</v>
      </c>
      <c r="F36" s="183">
        <f ca="1">IF(AND(H36&gt;=startdag,H36&lt;=slutdag),IF(TODAY()&gt;=H36,Normtid!AB27,0),0)</f>
        <v>0</v>
      </c>
      <c r="G36" s="403"/>
      <c r="H36" s="181">
        <f>Normtid!AA27</f>
        <v>44096</v>
      </c>
      <c r="I36" s="182" t="str">
        <f t="shared" si="4"/>
        <v>Mån</v>
      </c>
      <c r="J36" s="184"/>
      <c r="K36" s="184"/>
      <c r="L36" s="184"/>
      <c r="M36" s="204"/>
      <c r="N36" s="379"/>
      <c r="O36" s="205" t="str">
        <f>Normtid!$AC27</f>
        <v/>
      </c>
      <c r="P36" s="188">
        <f t="shared" ca="1" si="5"/>
        <v>0</v>
      </c>
    </row>
    <row r="37" spans="1:16" ht="15.75" customHeight="1">
      <c r="B37" s="460" t="str">
        <f t="shared" ca="1" si="0"/>
        <v/>
      </c>
      <c r="C37" s="461" t="str">
        <f t="shared" ca="1" si="1"/>
        <v/>
      </c>
      <c r="D37" s="195">
        <f t="shared" ca="1" si="2"/>
        <v>0</v>
      </c>
      <c r="E37" s="196">
        <f t="shared" ca="1" si="3"/>
        <v>0</v>
      </c>
      <c r="F37" s="191">
        <f ca="1">IF(AND(H37&gt;=startdag,H37&lt;=slutdag),IF(TODAY()&gt;=H37,Normtid!AB28,0),0)</f>
        <v>0</v>
      </c>
      <c r="G37" s="403"/>
      <c r="H37" s="189">
        <f>Normtid!AA28</f>
        <v>44097</v>
      </c>
      <c r="I37" s="190" t="str">
        <f t="shared" si="4"/>
        <v>Tis</v>
      </c>
      <c r="J37" s="192"/>
      <c r="K37" s="192"/>
      <c r="L37" s="192"/>
      <c r="M37" s="202"/>
      <c r="N37" s="383"/>
      <c r="O37" s="203" t="str">
        <f>Normtid!$AC28</f>
        <v/>
      </c>
      <c r="P37" s="196">
        <f t="shared" ca="1" si="5"/>
        <v>0</v>
      </c>
    </row>
    <row r="38" spans="1:16" ht="15.75" customHeight="1">
      <c r="B38" s="462" t="str">
        <f t="shared" ca="1" si="0"/>
        <v/>
      </c>
      <c r="C38" s="463" t="str">
        <f t="shared" ca="1" si="1"/>
        <v/>
      </c>
      <c r="D38" s="388">
        <f t="shared" ca="1" si="2"/>
        <v>0</v>
      </c>
      <c r="E38" s="188">
        <f t="shared" ca="1" si="3"/>
        <v>0</v>
      </c>
      <c r="F38" s="183">
        <f ca="1">IF(AND(H38&gt;=startdag,H38&lt;=slutdag),IF(TODAY()&gt;=H38,Normtid!AB29,0),0)</f>
        <v>0</v>
      </c>
      <c r="G38" s="403"/>
      <c r="H38" s="181">
        <f>Normtid!AA29</f>
        <v>44098</v>
      </c>
      <c r="I38" s="182" t="str">
        <f t="shared" si="4"/>
        <v>Ons</v>
      </c>
      <c r="J38" s="184"/>
      <c r="K38" s="184"/>
      <c r="L38" s="184"/>
      <c r="M38" s="204"/>
      <c r="N38" s="379"/>
      <c r="O38" s="205" t="str">
        <f>Normtid!$AC29</f>
        <v/>
      </c>
      <c r="P38" s="188">
        <f t="shared" ca="1" si="5"/>
        <v>0</v>
      </c>
    </row>
    <row r="39" spans="1:16" ht="15.75" customHeight="1">
      <c r="B39" s="460" t="str">
        <f t="shared" ca="1" si="0"/>
        <v/>
      </c>
      <c r="C39" s="461" t="str">
        <f t="shared" ca="1" si="1"/>
        <v/>
      </c>
      <c r="D39" s="195">
        <f t="shared" ca="1" si="2"/>
        <v>0</v>
      </c>
      <c r="E39" s="196">
        <f t="shared" ca="1" si="3"/>
        <v>0</v>
      </c>
      <c r="F39" s="191">
        <f ca="1">IF(AND(H39&gt;=startdag,H39&lt;=slutdag),IF(TODAY()&gt;=H39,Normtid!AB30,0),0)</f>
        <v>0</v>
      </c>
      <c r="G39" s="403"/>
      <c r="H39" s="189">
        <f>Normtid!AA30</f>
        <v>44099</v>
      </c>
      <c r="I39" s="190" t="str">
        <f t="shared" si="4"/>
        <v>Tor</v>
      </c>
      <c r="J39" s="192"/>
      <c r="K39" s="192"/>
      <c r="L39" s="192"/>
      <c r="M39" s="202"/>
      <c r="N39" s="383"/>
      <c r="O39" s="203" t="str">
        <f>Normtid!$AC30</f>
        <v/>
      </c>
      <c r="P39" s="196">
        <f t="shared" ca="1" si="5"/>
        <v>0</v>
      </c>
    </row>
    <row r="40" spans="1:16" ht="15.75" customHeight="1">
      <c r="B40" s="462" t="str">
        <f t="shared" ca="1" si="0"/>
        <v/>
      </c>
      <c r="C40" s="463" t="str">
        <f t="shared" ca="1" si="1"/>
        <v/>
      </c>
      <c r="D40" s="388">
        <f t="shared" ca="1" si="2"/>
        <v>0</v>
      </c>
      <c r="E40" s="188">
        <f t="shared" ca="1" si="3"/>
        <v>0</v>
      </c>
      <c r="F40" s="183">
        <f ca="1">IF(AND(H40&gt;=startdag,H40&lt;=slutdag),IF(TODAY()&gt;=H40,Normtid!AB31,0),0)</f>
        <v>0</v>
      </c>
      <c r="G40" s="403"/>
      <c r="H40" s="181">
        <f>Normtid!AA31</f>
        <v>44100</v>
      </c>
      <c r="I40" s="182" t="str">
        <f t="shared" si="4"/>
        <v>Fre</v>
      </c>
      <c r="J40" s="184"/>
      <c r="K40" s="184"/>
      <c r="L40" s="184"/>
      <c r="M40" s="204"/>
      <c r="N40" s="379"/>
      <c r="O40" s="205" t="str">
        <f>Normtid!$AC31</f>
        <v/>
      </c>
      <c r="P40" s="188">
        <f t="shared" ca="1" si="5"/>
        <v>0</v>
      </c>
    </row>
    <row r="41" spans="1:16" ht="15.75" customHeight="1">
      <c r="B41" s="460" t="str">
        <f t="shared" ca="1" si="0"/>
        <v/>
      </c>
      <c r="C41" s="461" t="str">
        <f t="shared" ca="1" si="1"/>
        <v/>
      </c>
      <c r="D41" s="195">
        <f t="shared" ca="1" si="2"/>
        <v>0</v>
      </c>
      <c r="E41" s="196">
        <f t="shared" ca="1" si="3"/>
        <v>0</v>
      </c>
      <c r="F41" s="191">
        <f ca="1">IF(AND(H41&gt;=startdag,H41&lt;=slutdag),IF(TODAY()&gt;=H41,Normtid!AB32,0),0)</f>
        <v>0</v>
      </c>
      <c r="G41" s="403"/>
      <c r="H41" s="189">
        <f>Normtid!AA32</f>
        <v>44101</v>
      </c>
      <c r="I41" s="190" t="str">
        <f t="shared" si="4"/>
        <v>Lör</v>
      </c>
      <c r="J41" s="192"/>
      <c r="K41" s="192"/>
      <c r="L41" s="192"/>
      <c r="M41" s="202"/>
      <c r="N41" s="383"/>
      <c r="O41" s="203" t="str">
        <f>Normtid!$AC32</f>
        <v/>
      </c>
      <c r="P41" s="196">
        <f t="shared" ca="1" si="5"/>
        <v>0</v>
      </c>
    </row>
    <row r="42" spans="1:16" ht="15.75" customHeight="1">
      <c r="B42" s="462" t="str">
        <f t="shared" ca="1" si="0"/>
        <v/>
      </c>
      <c r="C42" s="463" t="str">
        <f t="shared" ca="1" si="1"/>
        <v/>
      </c>
      <c r="D42" s="388">
        <f t="shared" ca="1" si="2"/>
        <v>0</v>
      </c>
      <c r="E42" s="188">
        <f t="shared" ca="1" si="3"/>
        <v>0</v>
      </c>
      <c r="F42" s="183">
        <f ca="1">IF(AND(H42&gt;=startdag,H42&lt;=slutdag),IF(TODAY()&gt;=H42,Normtid!AB33,0),0)</f>
        <v>0</v>
      </c>
      <c r="G42" s="403"/>
      <c r="H42" s="181">
        <f>Normtid!AA33</f>
        <v>44102</v>
      </c>
      <c r="I42" s="182" t="str">
        <f t="shared" si="4"/>
        <v>Sön</v>
      </c>
      <c r="J42" s="184"/>
      <c r="K42" s="184"/>
      <c r="L42" s="184"/>
      <c r="M42" s="204"/>
      <c r="N42" s="379"/>
      <c r="O42" s="205" t="str">
        <f>Normtid!$AC33</f>
        <v/>
      </c>
      <c r="P42" s="188">
        <f t="shared" ca="1" si="5"/>
        <v>0</v>
      </c>
    </row>
    <row r="43" spans="1:16" ht="15.75" customHeight="1">
      <c r="B43" s="460" t="str">
        <f t="shared" ca="1" si="0"/>
        <v/>
      </c>
      <c r="C43" s="461" t="str">
        <f t="shared" ca="1" si="1"/>
        <v/>
      </c>
      <c r="D43" s="195">
        <f t="shared" ca="1" si="2"/>
        <v>0</v>
      </c>
      <c r="E43" s="196">
        <f t="shared" ca="1" si="3"/>
        <v>0</v>
      </c>
      <c r="F43" s="191">
        <f ca="1">IF(AND(H43&gt;=startdag,H43&lt;=slutdag),IF(TODAY()&gt;=H43,Normtid!AB34,0),0)</f>
        <v>0</v>
      </c>
      <c r="G43" s="403"/>
      <c r="H43" s="189">
        <f>Normtid!AA34</f>
        <v>44103</v>
      </c>
      <c r="I43" s="190" t="str">
        <f t="shared" si="4"/>
        <v>Mån</v>
      </c>
      <c r="J43" s="192"/>
      <c r="K43" s="192"/>
      <c r="L43" s="192"/>
      <c r="M43" s="202"/>
      <c r="N43" s="383"/>
      <c r="O43" s="203" t="str">
        <f>Normtid!$AC34</f>
        <v/>
      </c>
      <c r="P43" s="196">
        <f t="shared" ca="1" si="5"/>
        <v>0</v>
      </c>
    </row>
    <row r="44" spans="1:16" ht="15.75" customHeight="1">
      <c r="B44" s="464" t="str">
        <f t="shared" ca="1" si="0"/>
        <v/>
      </c>
      <c r="C44" s="465" t="str">
        <f t="shared" ca="1" si="1"/>
        <v/>
      </c>
      <c r="D44" s="389">
        <f t="shared" ca="1" si="2"/>
        <v>0</v>
      </c>
      <c r="E44" s="91">
        <f t="shared" ca="1" si="3"/>
        <v>0</v>
      </c>
      <c r="F44" s="220">
        <f ca="1">IF(AND(H44&gt;=startdag,H44&lt;=slutdag),IF(TODAY()&gt;=H44,Normtid!AB35,0),0)</f>
        <v>0</v>
      </c>
      <c r="G44" s="403"/>
      <c r="H44" s="100"/>
      <c r="I44" s="39"/>
      <c r="J44" s="96"/>
      <c r="K44" s="96"/>
      <c r="L44" s="96"/>
      <c r="M44" s="97"/>
      <c r="N44" s="98"/>
      <c r="O44" s="99"/>
      <c r="P44" s="91">
        <f t="shared" ca="1" si="5"/>
        <v>0</v>
      </c>
    </row>
    <row r="45" spans="1:16" ht="15.75" customHeight="1" thickBot="1">
      <c r="A45" s="30"/>
      <c r="B45" s="17"/>
      <c r="C45" s="336"/>
      <c r="D45" s="80"/>
      <c r="E45" s="80"/>
      <c r="F45" s="80"/>
      <c r="G45" s="80"/>
      <c r="H45" s="80"/>
      <c r="I45" s="80"/>
      <c r="J45" s="81"/>
      <c r="K45" s="80"/>
      <c r="L45" s="80"/>
      <c r="M45" s="80"/>
      <c r="N45" s="80"/>
      <c r="O45" s="80"/>
      <c r="P45" s="80"/>
    </row>
    <row r="46" spans="1:16" ht="12.9">
      <c r="A46" s="548" t="str">
        <f>Felinfo!H10</f>
        <v>Flex 99:03C • huk-51 • ©</v>
      </c>
      <c r="C46" s="314"/>
      <c r="D46" s="64"/>
      <c r="E46" s="64"/>
      <c r="F46" s="17"/>
      <c r="G46" s="17"/>
      <c r="H46" s="51" t="str">
        <f ca="1">"Summa arbetad tid"&amp;IF(MONTH(H14)=MONTH(TODAY())," t o m ""i dag""","")</f>
        <v>Summa arbetad tid</v>
      </c>
      <c r="I46" s="52"/>
      <c r="J46" s="53"/>
      <c r="K46" s="53"/>
      <c r="L46" s="53"/>
      <c r="M46" s="53"/>
      <c r="N46" s="54"/>
      <c r="O46" s="52"/>
      <c r="P46" s="197">
        <f ca="1">IF(TODAY()&gt;=H14,SUMIF(P14:P44,"&gt;0"),0)</f>
        <v>0</v>
      </c>
    </row>
    <row r="47" spans="1:16" ht="14.25" customHeight="1">
      <c r="A47" s="555"/>
      <c r="C47" s="314"/>
      <c r="D47" s="60"/>
      <c r="E47" s="60"/>
      <c r="F47" s="17"/>
      <c r="G47" s="17"/>
      <c r="H47" s="56" t="str">
        <f ca="1">IF(MONTH(H14)=MONTH(TODAY()),"Månadens normalarbetstid t o m idag","Normalarbetstid för månaden")&amp;IF(AND(MONTH(TODAY())&gt;=MONTH(H14),N8&lt;&gt;1)," (normtid "&amp;SUM(F14:F44)&amp;" tim * tjänsteomfattning "&amp;TEXT(N8*1000,"## %)"),"")</f>
        <v>Normalarbetstid för månaden</v>
      </c>
      <c r="I47" s="17"/>
      <c r="J47" s="57"/>
      <c r="K47" s="57"/>
      <c r="L47" s="57"/>
      <c r="M47" s="57"/>
      <c r="N47" s="58"/>
      <c r="O47" s="59"/>
      <c r="P47" s="198">
        <f ca="1">IF(AND(TODAY()&gt;=H14,MONTH(H14)&gt;=MONTH(Grunddata!C22)),SUM(F14:F44)*N8,0)</f>
        <v>0</v>
      </c>
    </row>
    <row r="48" spans="1:16" ht="14.25" customHeight="1">
      <c r="A48" s="555"/>
      <c r="C48" s="314"/>
      <c r="D48" s="64"/>
      <c r="E48" s="64"/>
      <c r="F48" s="17"/>
      <c r="G48" s="17"/>
      <c r="H48" s="56" t="s">
        <v>35</v>
      </c>
      <c r="I48" s="17"/>
      <c r="J48" s="57"/>
      <c r="K48" s="61"/>
      <c r="L48" s="62"/>
      <c r="M48" s="63"/>
      <c r="N48" s="63"/>
      <c r="O48" s="63"/>
      <c r="P48" s="308">
        <f ca="1">IF(TODAY()&gt;=H14,IF(AND(MONTH(H14)=MONTH(Grunddata!C22),flyttsaldo&lt;&gt;0),flyttsaldo,AUG!P50),0)</f>
        <v>0</v>
      </c>
    </row>
    <row r="49" spans="1:16" ht="14.25" customHeight="1">
      <c r="A49" s="555"/>
      <c r="C49" s="314"/>
      <c r="D49" s="64"/>
      <c r="E49" s="64"/>
      <c r="F49" s="17"/>
      <c r="G49" s="17"/>
      <c r="H49" s="56" t="str">
        <f>IF(tjänst=1,"Över","Mer")&amp;"tidstimmar (ersättning utbetalad med "&amp;TEXT(H14,"MMMM")&amp;"lönen)"</f>
        <v>Övertidstimmar (ersättning utbetalad med septemberlönen)</v>
      </c>
      <c r="I49" s="17"/>
      <c r="J49" s="57"/>
      <c r="K49" s="61"/>
      <c r="L49" s="62"/>
      <c r="M49" s="63"/>
      <c r="N49" s="63"/>
      <c r="O49" s="63"/>
      <c r="P49" s="372"/>
    </row>
    <row r="50" spans="1:16" ht="14.25" customHeight="1">
      <c r="A50" s="555"/>
      <c r="C50" s="314"/>
      <c r="D50" s="64"/>
      <c r="E50" s="64"/>
      <c r="F50" s="17"/>
      <c r="G50" s="17"/>
      <c r="H50" s="65" t="str">
        <f ca="1">IF(MONTH(H14)=MONTH(TODAY()),"Dagens saldo +/-","Nytt saldo +/-")</f>
        <v>Nytt saldo +/-</v>
      </c>
      <c r="I50" s="66"/>
      <c r="J50" s="67"/>
      <c r="K50" s="68"/>
      <c r="L50" s="69"/>
      <c r="M50" s="69"/>
      <c r="N50" s="69"/>
      <c r="O50" s="69"/>
      <c r="P50" s="469">
        <f ca="1">IF(TODAY()&gt;=H14,P46-P47+P48-ABS(P49),0)</f>
        <v>0</v>
      </c>
    </row>
    <row r="51" spans="1:16" ht="14.25" customHeight="1" thickBot="1">
      <c r="A51" s="555"/>
      <c r="C51" s="314"/>
      <c r="D51" s="64"/>
      <c r="E51" s="64"/>
      <c r="F51" s="17"/>
      <c r="G51" s="17"/>
      <c r="H51" s="71" t="s">
        <v>29</v>
      </c>
      <c r="I51" s="72"/>
      <c r="J51" s="73"/>
      <c r="K51" s="74">
        <f ca="1">IF(L51&gt;0,"månadens: ",)</f>
        <v>0</v>
      </c>
      <c r="L51" s="75">
        <f ca="1">MOD(SUM(D14:D44),100)</f>
        <v>0</v>
      </c>
      <c r="M51" s="76">
        <f ca="1">IF(N51&gt;0,"årets: ",)</f>
        <v>0</v>
      </c>
      <c r="N51" s="75">
        <f ca="1">'2024'!K22</f>
        <v>0</v>
      </c>
      <c r="O51" s="77" t="str">
        <f ca="1">"  kvarstående:  "&amp;'2024'!$L22</f>
        <v xml:space="preserve">  kvarstående:  0</v>
      </c>
      <c r="P51" s="79"/>
    </row>
    <row r="52" spans="1:16" ht="12" customHeight="1">
      <c r="A52" s="555"/>
      <c r="C52" s="314"/>
      <c r="F52" s="466"/>
      <c r="G52" s="466"/>
      <c r="H52" s="427" t="s">
        <v>75</v>
      </c>
      <c r="I52" s="428"/>
      <c r="J52" s="429"/>
      <c r="K52" s="430" t="s">
        <v>27</v>
      </c>
      <c r="L52" s="431"/>
      <c r="M52" s="431"/>
      <c r="N52" s="432"/>
      <c r="O52" s="433"/>
      <c r="P52" s="434"/>
    </row>
    <row r="53" spans="1:16" ht="27.75" customHeight="1" thickBot="1">
      <c r="A53" s="555"/>
      <c r="F53" s="467"/>
      <c r="G53" s="467"/>
      <c r="H53" s="561"/>
      <c r="I53" s="566"/>
      <c r="J53" s="567"/>
      <c r="K53" s="7"/>
      <c r="L53" s="7"/>
      <c r="M53" s="7"/>
      <c r="N53" s="9"/>
      <c r="O53" s="3"/>
      <c r="P53" s="4"/>
    </row>
    <row r="54" spans="1:16" ht="12" customHeight="1" thickBot="1">
      <c r="A54" s="360"/>
    </row>
    <row r="55" spans="1:16" ht="12" customHeight="1">
      <c r="A55" s="360"/>
      <c r="F55" s="125"/>
      <c r="G55" s="125"/>
      <c r="H55" s="5" t="s">
        <v>19</v>
      </c>
      <c r="I55" s="5"/>
      <c r="J55" s="427" t="s">
        <v>75</v>
      </c>
      <c r="K55" s="429"/>
      <c r="L55" s="430" t="s">
        <v>26</v>
      </c>
      <c r="M55" s="431"/>
      <c r="N55" s="432"/>
      <c r="O55" s="433"/>
      <c r="P55" s="435"/>
    </row>
    <row r="56" spans="1:16" ht="27.75" customHeight="1" thickBot="1">
      <c r="A56" s="360"/>
      <c r="F56" s="125"/>
      <c r="G56" s="125"/>
      <c r="J56" s="11"/>
      <c r="K56" s="10"/>
      <c r="L56" s="7"/>
      <c r="M56" s="7"/>
      <c r="N56" s="9"/>
      <c r="O56" s="3"/>
      <c r="P56" s="4"/>
    </row>
    <row r="59" spans="1:16">
      <c r="C59" s="318"/>
      <c r="D59" s="64"/>
      <c r="E59" s="64"/>
      <c r="F59" s="17"/>
      <c r="G59" s="17"/>
    </row>
    <row r="60" spans="1:16">
      <c r="C60" s="318"/>
      <c r="D60" s="64"/>
      <c r="E60" s="64"/>
      <c r="F60" s="17"/>
      <c r="G60" s="17"/>
    </row>
    <row r="61" spans="1:16">
      <c r="C61" s="318"/>
      <c r="D61" s="64"/>
      <c r="E61" s="64"/>
      <c r="F61" s="17"/>
      <c r="G61" s="17"/>
    </row>
    <row r="62" spans="1:16">
      <c r="C62" s="318"/>
      <c r="D62" s="64"/>
      <c r="E62" s="64"/>
      <c r="F62" s="17"/>
      <c r="G62" s="17"/>
    </row>
  </sheetData>
  <sheetProtection password="C38D" sheet="1" objects="1" scenarios="1"/>
  <mergeCells count="4">
    <mergeCell ref="A46:A53"/>
    <mergeCell ref="B10:C10"/>
    <mergeCell ref="J13:O13"/>
    <mergeCell ref="H53:J53"/>
  </mergeCells>
  <phoneticPr fontId="0" type="noConversion"/>
  <conditionalFormatting sqref="A14">
    <cfRule type="cellIs" dxfId="7" priority="1" stopIfTrue="1" operator="greaterThan">
      <formula>0</formula>
    </cfRule>
  </conditionalFormatting>
  <conditionalFormatting sqref="J45 L48:L49">
    <cfRule type="cellIs" dxfId="6" priority="2" stopIfTrue="1" operator="greaterThan">
      <formula>0</formula>
    </cfRule>
  </conditionalFormatting>
  <dataValidations count="1">
    <dataValidation allowBlank="1" showInputMessage="1" showErrorMessage="1" error="Timme och minut måste skiljas med_x000a_- kolon på pc_x000a_- punkt på Mac" sqref="L5 J14:M44" xr:uid="{00000000-0002-0000-0E00-000000000000}"/>
  </dataValidations>
  <printOptions verticalCentered="1"/>
  <pageMargins left="0.6692913385826772" right="0.47244094488188981" top="0.78740157480314965" bottom="0.62992125984251968" header="0.51181102362204722" footer="0.51181102362204722"/>
  <pageSetup paperSize="9" scale="87" orientation="portrait" blackAndWhite="1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Blad42271111">
    <pageSetUpPr fitToPage="1"/>
  </sheetPr>
  <dimension ref="A1:P62"/>
  <sheetViews>
    <sheetView showGridLines="0" showRowColHeaders="0" showZeros="0" topLeftCell="A9" zoomScale="80" workbookViewId="0">
      <pane ySplit="5" topLeftCell="A14" activePane="bottomLeft" state="frozenSplit"/>
      <selection activeCell="P9" sqref="P1:P65536"/>
      <selection pane="bottomLeft" activeCell="J14" sqref="J14"/>
    </sheetView>
  </sheetViews>
  <sheetFormatPr defaultColWidth="11.3828125" defaultRowHeight="12.45"/>
  <cols>
    <col min="1" max="1" width="2.84375" style="269" customWidth="1"/>
    <col min="2" max="2" width="8.84375" style="318" hidden="1" customWidth="1"/>
    <col min="3" max="3" width="4.53515625" style="320" hidden="1" customWidth="1"/>
    <col min="4" max="4" width="11.3828125" style="354" hidden="1" customWidth="1"/>
    <col min="5" max="5" width="8.3828125" style="354" hidden="1" customWidth="1"/>
    <col min="6" max="6" width="7.15234375" style="30" hidden="1" customWidth="1"/>
    <col min="7" max="7" width="1.53515625" style="30" hidden="1" customWidth="1"/>
    <col min="8" max="8" width="4.3828125" style="1" customWidth="1"/>
    <col min="9" max="9" width="7.53515625" style="1" customWidth="1"/>
    <col min="10" max="13" width="8.15234375" style="6" customWidth="1"/>
    <col min="14" max="14" width="11.07421875" style="8" customWidth="1"/>
    <col min="15" max="15" width="36.15234375" style="1" customWidth="1"/>
    <col min="16" max="16" width="11.15234375" style="1" customWidth="1"/>
    <col min="17" max="16384" width="11.3828125" style="1"/>
  </cols>
  <sheetData>
    <row r="1" spans="1:16" s="12" customFormat="1" ht="16" customHeight="1">
      <c r="A1" s="21" t="s">
        <v>30</v>
      </c>
      <c r="B1" s="315"/>
      <c r="C1" s="315"/>
      <c r="D1" s="272"/>
      <c r="E1" s="272"/>
      <c r="F1" s="272"/>
      <c r="G1" s="272"/>
      <c r="P1" s="174" t="s">
        <v>31</v>
      </c>
    </row>
    <row r="2" spans="1:16" s="115" customFormat="1" ht="14.25" customHeight="1">
      <c r="A2" s="145">
        <f>inst</f>
        <v>0</v>
      </c>
      <c r="B2" s="317"/>
      <c r="C2" s="317"/>
      <c r="D2" s="145"/>
      <c r="E2" s="145"/>
      <c r="F2" s="145"/>
      <c r="G2" s="145"/>
    </row>
    <row r="3" spans="1:16" s="166" customFormat="1" ht="15.75" customHeight="1">
      <c r="A3" s="17"/>
      <c r="B3" s="318"/>
      <c r="C3" s="318"/>
      <c r="D3" s="17"/>
      <c r="E3" s="17"/>
      <c r="F3" s="17"/>
      <c r="G3" s="17"/>
      <c r="L3" s="175"/>
    </row>
    <row r="4" spans="1:16" s="166" customFormat="1" ht="15.75" customHeight="1">
      <c r="A4" s="17"/>
      <c r="B4" s="485"/>
      <c r="C4" s="318"/>
      <c r="D4" s="176"/>
      <c r="E4" s="176"/>
      <c r="F4" s="319"/>
      <c r="G4" s="17"/>
      <c r="H4" s="17"/>
      <c r="I4" s="17"/>
      <c r="J4" s="17"/>
      <c r="K4" s="17"/>
      <c r="L4" s="17"/>
      <c r="M4" s="17"/>
      <c r="N4" s="17"/>
      <c r="O4" s="176" t="s">
        <v>34</v>
      </c>
      <c r="P4" s="32">
        <f>H14</f>
        <v>44104</v>
      </c>
    </row>
    <row r="5" spans="1:16" s="166" customFormat="1" ht="15.75" customHeight="1">
      <c r="A5" s="17"/>
      <c r="B5" s="485"/>
      <c r="C5" s="318"/>
      <c r="D5" s="176"/>
      <c r="E5" s="176"/>
      <c r="F5" s="17"/>
      <c r="G5" s="17"/>
      <c r="H5" s="17"/>
      <c r="I5" s="17"/>
      <c r="J5" s="17"/>
      <c r="K5" s="17"/>
      <c r="L5" s="17"/>
      <c r="M5" s="17"/>
      <c r="N5" s="17"/>
      <c r="O5" s="176" t="s">
        <v>33</v>
      </c>
      <c r="P5" s="33">
        <f>H14</f>
        <v>44104</v>
      </c>
    </row>
    <row r="6" spans="1:16" s="166" customFormat="1" ht="15.75" customHeight="1">
      <c r="A6" s="17"/>
      <c r="B6" s="486"/>
      <c r="C6" s="318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6" ht="12.75" customHeight="1" thickBot="1">
      <c r="H7" s="422" t="s">
        <v>73</v>
      </c>
      <c r="I7" s="423"/>
      <c r="J7" s="423"/>
      <c r="K7" s="423"/>
      <c r="L7" s="423"/>
      <c r="M7" s="423"/>
      <c r="N7" s="422" t="s">
        <v>74</v>
      </c>
      <c r="O7" s="422" t="s">
        <v>72</v>
      </c>
      <c r="P7" s="424"/>
    </row>
    <row r="8" spans="1:16" s="2" customFormat="1" ht="17.25" customHeight="1" thickBot="1">
      <c r="A8" s="269"/>
      <c r="B8" s="318"/>
      <c r="C8" s="321"/>
      <c r="D8" s="453" t="s">
        <v>120</v>
      </c>
      <c r="E8" s="392">
        <f ca="1">INT((LEN(fel_1)+LEN(fel_2)+LEN(fel_3))/60)+COUNTIF(B14:C38,"1")</f>
        <v>3</v>
      </c>
      <c r="F8" s="323"/>
      <c r="G8" s="323"/>
      <c r="H8" s="39" t="str">
        <f>IF(namn&lt;&gt;"","  "&amp;namn,"")</f>
        <v/>
      </c>
      <c r="I8" s="40"/>
      <c r="J8" s="41"/>
      <c r="K8" s="41"/>
      <c r="L8" s="41"/>
      <c r="M8" s="41"/>
      <c r="N8" s="180">
        <f>tjänst</f>
        <v>1</v>
      </c>
      <c r="O8" s="42" t="str">
        <f>IF(p_nr&lt;&gt;"","  "&amp;p_nr,"")</f>
        <v/>
      </c>
      <c r="P8" s="287"/>
    </row>
    <row r="9" spans="1:16" s="2" customFormat="1" ht="3" customHeight="1">
      <c r="A9" s="269"/>
      <c r="B9" s="454"/>
      <c r="C9" s="455"/>
      <c r="D9" s="436"/>
      <c r="E9" s="436"/>
      <c r="F9" s="436"/>
      <c r="G9" s="402"/>
      <c r="H9" s="415"/>
      <c r="I9" s="415"/>
      <c r="J9" s="415"/>
      <c r="K9" s="415"/>
      <c r="L9" s="415"/>
      <c r="M9" s="415"/>
      <c r="N9" s="416"/>
      <c r="O9" s="417"/>
      <c r="P9" s="418"/>
    </row>
    <row r="10" spans="1:16" s="14" customFormat="1" ht="12.75" customHeight="1">
      <c r="A10" s="324"/>
      <c r="B10" s="559" t="s">
        <v>135</v>
      </c>
      <c r="C10" s="560"/>
      <c r="D10" s="437" t="s">
        <v>119</v>
      </c>
      <c r="E10" s="437" t="s">
        <v>121</v>
      </c>
      <c r="F10" s="438" t="s">
        <v>116</v>
      </c>
      <c r="G10" s="390"/>
      <c r="H10" s="409" t="s">
        <v>88</v>
      </c>
      <c r="I10" s="409" t="s">
        <v>39</v>
      </c>
      <c r="J10" s="410" t="s">
        <v>14</v>
      </c>
      <c r="K10" s="410" t="s">
        <v>15</v>
      </c>
      <c r="L10" s="410" t="s">
        <v>15</v>
      </c>
      <c r="M10" s="410" t="s">
        <v>14</v>
      </c>
      <c r="N10" s="411" t="s">
        <v>145</v>
      </c>
      <c r="O10" s="409" t="s">
        <v>76</v>
      </c>
      <c r="P10" s="412" t="s">
        <v>77</v>
      </c>
    </row>
    <row r="11" spans="1:16" s="14" customFormat="1" ht="12.75" customHeight="1">
      <c r="A11" s="324"/>
      <c r="B11" s="439" t="s">
        <v>118</v>
      </c>
      <c r="C11" s="456" t="s">
        <v>101</v>
      </c>
      <c r="D11" s="437" t="s">
        <v>118</v>
      </c>
      <c r="E11" s="437" t="s">
        <v>122</v>
      </c>
      <c r="F11" s="439" t="s">
        <v>117</v>
      </c>
      <c r="G11" s="391"/>
      <c r="H11" s="409" t="s">
        <v>9</v>
      </c>
      <c r="I11" s="409" t="s">
        <v>10</v>
      </c>
      <c r="J11" s="413" t="s">
        <v>16</v>
      </c>
      <c r="K11" s="414" t="s">
        <v>16</v>
      </c>
      <c r="L11" s="414" t="s">
        <v>17</v>
      </c>
      <c r="M11" s="410" t="s">
        <v>18</v>
      </c>
      <c r="N11" s="419" t="str">
        <f ca="1">IF(INFO("system")="mac","tim.minut","tim:minut")</f>
        <v>tim:minut</v>
      </c>
      <c r="O11" s="420" t="s">
        <v>164</v>
      </c>
      <c r="P11" s="421" t="s">
        <v>161</v>
      </c>
    </row>
    <row r="12" spans="1:16" s="2" customFormat="1" ht="3" customHeight="1">
      <c r="A12" s="269"/>
      <c r="B12" s="439"/>
      <c r="C12" s="456"/>
      <c r="D12" s="439"/>
      <c r="E12" s="439"/>
      <c r="F12" s="439"/>
      <c r="G12" s="402"/>
      <c r="H12" s="409"/>
      <c r="I12" s="409"/>
      <c r="J12" s="409"/>
      <c r="K12" s="409"/>
      <c r="L12" s="409"/>
      <c r="M12" s="409"/>
      <c r="N12" s="425"/>
      <c r="O12" s="412"/>
      <c r="P12" s="426"/>
    </row>
    <row r="13" spans="1:16" s="172" customFormat="1" ht="18" customHeight="1" thickBot="1">
      <c r="A13" s="329"/>
      <c r="B13" s="449" t="s">
        <v>10</v>
      </c>
      <c r="C13" s="457" t="s">
        <v>102</v>
      </c>
      <c r="D13" s="448" t="s">
        <v>22</v>
      </c>
      <c r="E13" s="448" t="s">
        <v>123</v>
      </c>
      <c r="F13" s="449" t="s">
        <v>142</v>
      </c>
      <c r="G13" s="401"/>
      <c r="H13" s="167" t="str">
        <f>IF(LEN(J13)&gt;0,"  INFO:","")</f>
        <v xml:space="preserve">  INFO:</v>
      </c>
      <c r="I13" s="168"/>
      <c r="J13" s="544" t="str">
        <f>IF(LEN(fel_1)&gt;0,fel_1,IF(LEN(fel_2)&gt;0,fel_2,IF(LEN(fel_3)&gt;0,fel_3,IF(LEN(fel_4)&gt;0,fel_4,IF(SUMIF(B14:B44,"&gt;0"),semfel_1&amp;TEXT(VLOOKUP(1,B14:P44,7),"D MMM")&amp;semfel_2,IF(COUNTIF(C14:C44,"1"),ändr_fel,""))))))</f>
        <v>Du har glömt ange namn och/eller personnr på fliken "Grunddata"!</v>
      </c>
      <c r="K13" s="545"/>
      <c r="L13" s="545"/>
      <c r="M13" s="545"/>
      <c r="N13" s="545"/>
      <c r="O13" s="545"/>
      <c r="P13" s="171" t="str">
        <f ca="1">IF(E8&gt;1,"Tot. "&amp;E8&amp;" fel","")</f>
        <v>Tot. 3 fel</v>
      </c>
    </row>
    <row r="14" spans="1:16" ht="17.25" customHeight="1">
      <c r="A14" s="487"/>
      <c r="B14" s="488" t="str">
        <f t="shared" ref="B14:B44" ca="1" si="0">IF(AND(F14="ej sem",OR(LEFT(O14,3)="sem",LEFT(O14,4)="sjuk")),1,"")</f>
        <v/>
      </c>
      <c r="C14" s="480" t="str">
        <f t="shared" ref="C14:C44" ca="1" si="1">IF(NOT(ISERROR(E14)),"",IF(N14&lt;&gt;"",IF(ERROR.TYPE(E14)=3,1,),))</f>
        <v/>
      </c>
      <c r="D14" s="388">
        <f t="shared" ref="D14:D44" ca="1" si="2">IF(TODAY()&gt;=H14,IF(AND(LEFT(O14,3)="SEM",F14&lt;&gt;"ej sem"),1,IF(AND(LEFT(O14,4)="sjuk",F14&lt;&gt;"ej sem"),100,0)),0)</f>
        <v>0</v>
      </c>
      <c r="E14" s="381">
        <f t="shared" ref="E14:E44" ca="1" si="3">IF(AND(TODAY()&gt;=H14,F14&gt;0,OR(J14&gt;0,L14&gt;0,N14&lt;&gt;0)),((M14-L14+K14-J14)+IF(ISBLANK(N14),0,IF(LEFT(N14,1)="-",-TIMEVALUE(RIGHT(N14,LEN(N14)-1)),IF(LEFT(N14,1)="+",TIMEVALUE(RIGHT(N14,LEN(N14)-1)),TIMEVALUE(N14)))))*24,IF(OR(D14=1,D14=100),F14*tjänst,0))</f>
        <v>0</v>
      </c>
      <c r="F14" s="183">
        <f ca="1">IF(AND(H14&gt;=startdag,H14&lt;=slutdag),IF(TODAY()&gt;=H14,Normtid!AE5,0),0)</f>
        <v>0</v>
      </c>
      <c r="G14" s="404"/>
      <c r="H14" s="375">
        <f>Normtid!AD5</f>
        <v>44104</v>
      </c>
      <c r="I14" s="376" t="str">
        <f t="shared" ref="I14:I44" si="4">PROPER(TEXT(WEEKDAY(H14)+1,"DDD"))</f>
        <v>Tis</v>
      </c>
      <c r="J14" s="377"/>
      <c r="K14" s="377"/>
      <c r="L14" s="377"/>
      <c r="M14" s="378"/>
      <c r="N14" s="379"/>
      <c r="O14" s="380" t="str">
        <f>Normtid!$AF5</f>
        <v/>
      </c>
      <c r="P14" s="381">
        <f ca="1">IF(E14&lt;&gt;0,E14,0)</f>
        <v>0</v>
      </c>
    </row>
    <row r="15" spans="1:16" ht="15.75" customHeight="1">
      <c r="B15" s="489" t="str">
        <f t="shared" ca="1" si="0"/>
        <v/>
      </c>
      <c r="C15" s="461" t="str">
        <f t="shared" ca="1" si="1"/>
        <v/>
      </c>
      <c r="D15" s="195">
        <f t="shared" ca="1" si="2"/>
        <v>0</v>
      </c>
      <c r="E15" s="196">
        <f t="shared" ca="1" si="3"/>
        <v>0</v>
      </c>
      <c r="F15" s="191">
        <f ca="1">IF(AND(H15&gt;=startdag,H15&lt;=slutdag),IF(TODAY()&gt;=H15,Normtid!AE6,0),0)</f>
        <v>0</v>
      </c>
      <c r="G15" s="405"/>
      <c r="H15" s="189">
        <f>Normtid!AD6</f>
        <v>44105</v>
      </c>
      <c r="I15" s="190" t="str">
        <f t="shared" si="4"/>
        <v>Ons</v>
      </c>
      <c r="J15" s="192"/>
      <c r="K15" s="192"/>
      <c r="L15" s="192"/>
      <c r="M15" s="202"/>
      <c r="N15" s="383"/>
      <c r="O15" s="194" t="str">
        <f>Normtid!$AF6</f>
        <v/>
      </c>
      <c r="P15" s="196">
        <f t="shared" ref="P15:P44" ca="1" si="5">IF(E15&lt;&gt;0,E15,0)</f>
        <v>0</v>
      </c>
    </row>
    <row r="16" spans="1:16" ht="15.75" customHeight="1">
      <c r="B16" s="490" t="str">
        <f t="shared" ca="1" si="0"/>
        <v/>
      </c>
      <c r="C16" s="463" t="str">
        <f t="shared" ca="1" si="1"/>
        <v/>
      </c>
      <c r="D16" s="388">
        <f t="shared" ca="1" si="2"/>
        <v>0</v>
      </c>
      <c r="E16" s="188">
        <f t="shared" ca="1" si="3"/>
        <v>0</v>
      </c>
      <c r="F16" s="183">
        <f ca="1">IF(AND(H16&gt;=startdag,H16&lt;=slutdag),IF(TODAY()&gt;=H16,Normtid!AE7,0),0)</f>
        <v>0</v>
      </c>
      <c r="G16" s="405"/>
      <c r="H16" s="181">
        <f>Normtid!AD7</f>
        <v>44106</v>
      </c>
      <c r="I16" s="182" t="str">
        <f t="shared" si="4"/>
        <v>Tor</v>
      </c>
      <c r="J16" s="184"/>
      <c r="K16" s="184"/>
      <c r="L16" s="184"/>
      <c r="M16" s="204"/>
      <c r="N16" s="379"/>
      <c r="O16" s="186" t="str">
        <f>Normtid!$AF7</f>
        <v/>
      </c>
      <c r="P16" s="188">
        <f t="shared" ca="1" si="5"/>
        <v>0</v>
      </c>
    </row>
    <row r="17" spans="2:16" ht="15.75" customHeight="1">
      <c r="B17" s="489" t="str">
        <f t="shared" ca="1" si="0"/>
        <v/>
      </c>
      <c r="C17" s="461" t="str">
        <f t="shared" ca="1" si="1"/>
        <v/>
      </c>
      <c r="D17" s="195">
        <f t="shared" ca="1" si="2"/>
        <v>0</v>
      </c>
      <c r="E17" s="196">
        <f t="shared" ca="1" si="3"/>
        <v>0</v>
      </c>
      <c r="F17" s="191">
        <f ca="1">IF(AND(H17&gt;=startdag,H17&lt;=slutdag),IF(TODAY()&gt;=H17,Normtid!AE8,0),0)</f>
        <v>0</v>
      </c>
      <c r="G17" s="405"/>
      <c r="H17" s="189">
        <f>Normtid!AD8</f>
        <v>44107</v>
      </c>
      <c r="I17" s="190" t="str">
        <f t="shared" si="4"/>
        <v>Fre</v>
      </c>
      <c r="J17" s="192"/>
      <c r="K17" s="192"/>
      <c r="L17" s="192"/>
      <c r="M17" s="202"/>
      <c r="N17" s="383"/>
      <c r="O17" s="194" t="str">
        <f>Normtid!$AF8</f>
        <v/>
      </c>
      <c r="P17" s="196">
        <f t="shared" ca="1" si="5"/>
        <v>0</v>
      </c>
    </row>
    <row r="18" spans="2:16" ht="15.75" customHeight="1">
      <c r="B18" s="490" t="str">
        <f t="shared" ca="1" si="0"/>
        <v/>
      </c>
      <c r="C18" s="463" t="str">
        <f t="shared" ca="1" si="1"/>
        <v/>
      </c>
      <c r="D18" s="388">
        <f t="shared" ca="1" si="2"/>
        <v>0</v>
      </c>
      <c r="E18" s="188">
        <f t="shared" ca="1" si="3"/>
        <v>0</v>
      </c>
      <c r="F18" s="183">
        <f ca="1">IF(AND(H18&gt;=startdag,H18&lt;=slutdag),IF(TODAY()&gt;=H18,Normtid!AE9,0),0)</f>
        <v>0</v>
      </c>
      <c r="G18" s="405"/>
      <c r="H18" s="181">
        <f>Normtid!AD9</f>
        <v>44108</v>
      </c>
      <c r="I18" s="182" t="str">
        <f t="shared" si="4"/>
        <v>Lör</v>
      </c>
      <c r="J18" s="184"/>
      <c r="K18" s="184"/>
      <c r="L18" s="184"/>
      <c r="M18" s="204"/>
      <c r="N18" s="379"/>
      <c r="O18" s="186" t="str">
        <f>Normtid!$AF9</f>
        <v/>
      </c>
      <c r="P18" s="188">
        <f t="shared" ca="1" si="5"/>
        <v>0</v>
      </c>
    </row>
    <row r="19" spans="2:16" ht="15.75" customHeight="1">
      <c r="B19" s="489" t="str">
        <f t="shared" ca="1" si="0"/>
        <v/>
      </c>
      <c r="C19" s="461" t="str">
        <f t="shared" ca="1" si="1"/>
        <v/>
      </c>
      <c r="D19" s="195">
        <f t="shared" ca="1" si="2"/>
        <v>0</v>
      </c>
      <c r="E19" s="196">
        <f t="shared" ca="1" si="3"/>
        <v>0</v>
      </c>
      <c r="F19" s="191">
        <f ca="1">IF(AND(H19&gt;=startdag,H19&lt;=slutdag),IF(TODAY()&gt;=H19,Normtid!AE10,0),0)</f>
        <v>0</v>
      </c>
      <c r="G19" s="405"/>
      <c r="H19" s="189">
        <f>Normtid!AD10</f>
        <v>44109</v>
      </c>
      <c r="I19" s="190" t="str">
        <f t="shared" si="4"/>
        <v>Sön</v>
      </c>
      <c r="J19" s="192"/>
      <c r="K19" s="192"/>
      <c r="L19" s="192"/>
      <c r="M19" s="202"/>
      <c r="N19" s="383"/>
      <c r="O19" s="194" t="str">
        <f>Normtid!$AF10</f>
        <v/>
      </c>
      <c r="P19" s="196">
        <f t="shared" ca="1" si="5"/>
        <v>0</v>
      </c>
    </row>
    <row r="20" spans="2:16" ht="15.75" customHeight="1">
      <c r="B20" s="490" t="str">
        <f t="shared" ca="1" si="0"/>
        <v/>
      </c>
      <c r="C20" s="463" t="str">
        <f t="shared" ca="1" si="1"/>
        <v/>
      </c>
      <c r="D20" s="388">
        <f t="shared" ca="1" si="2"/>
        <v>0</v>
      </c>
      <c r="E20" s="188">
        <f t="shared" ca="1" si="3"/>
        <v>0</v>
      </c>
      <c r="F20" s="183">
        <f ca="1">IF(AND(H20&gt;=startdag,H20&lt;=slutdag),IF(TODAY()&gt;=H20,Normtid!AE11,0),0)</f>
        <v>0</v>
      </c>
      <c r="G20" s="405"/>
      <c r="H20" s="181">
        <f>Normtid!AD11</f>
        <v>44110</v>
      </c>
      <c r="I20" s="182" t="str">
        <f t="shared" si="4"/>
        <v>Mån</v>
      </c>
      <c r="J20" s="184"/>
      <c r="K20" s="184"/>
      <c r="L20" s="184"/>
      <c r="M20" s="204"/>
      <c r="N20" s="379"/>
      <c r="O20" s="186" t="str">
        <f>Normtid!$AF11</f>
        <v/>
      </c>
      <c r="P20" s="188">
        <f t="shared" ca="1" si="5"/>
        <v>0</v>
      </c>
    </row>
    <row r="21" spans="2:16" ht="15.75" customHeight="1">
      <c r="B21" s="489" t="str">
        <f t="shared" ca="1" si="0"/>
        <v/>
      </c>
      <c r="C21" s="461" t="str">
        <f t="shared" ca="1" si="1"/>
        <v/>
      </c>
      <c r="D21" s="195">
        <f t="shared" ca="1" si="2"/>
        <v>0</v>
      </c>
      <c r="E21" s="196">
        <f t="shared" ca="1" si="3"/>
        <v>0</v>
      </c>
      <c r="F21" s="191">
        <f ca="1">IF(AND(H21&gt;=startdag,H21&lt;=slutdag),IF(TODAY()&gt;=H21,Normtid!AE12,0),0)</f>
        <v>0</v>
      </c>
      <c r="G21" s="405"/>
      <c r="H21" s="189">
        <f>Normtid!AD12</f>
        <v>44111</v>
      </c>
      <c r="I21" s="190" t="str">
        <f t="shared" si="4"/>
        <v>Tis</v>
      </c>
      <c r="J21" s="192"/>
      <c r="K21" s="192"/>
      <c r="L21" s="192"/>
      <c r="M21" s="202"/>
      <c r="N21" s="383"/>
      <c r="O21" s="194" t="str">
        <f>Normtid!$AF12</f>
        <v/>
      </c>
      <c r="P21" s="196">
        <f t="shared" ca="1" si="5"/>
        <v>0</v>
      </c>
    </row>
    <row r="22" spans="2:16" ht="15.75" customHeight="1">
      <c r="B22" s="490" t="str">
        <f t="shared" ca="1" si="0"/>
        <v/>
      </c>
      <c r="C22" s="463" t="str">
        <f t="shared" ca="1" si="1"/>
        <v/>
      </c>
      <c r="D22" s="388">
        <f t="shared" ca="1" si="2"/>
        <v>0</v>
      </c>
      <c r="E22" s="188">
        <f t="shared" ca="1" si="3"/>
        <v>0</v>
      </c>
      <c r="F22" s="183">
        <f ca="1">IF(AND(H22&gt;=startdag,H22&lt;=slutdag),IF(TODAY()&gt;=H22,Normtid!AE13,0),0)</f>
        <v>0</v>
      </c>
      <c r="G22" s="405"/>
      <c r="H22" s="181">
        <f>Normtid!AD13</f>
        <v>44112</v>
      </c>
      <c r="I22" s="182" t="str">
        <f t="shared" si="4"/>
        <v>Ons</v>
      </c>
      <c r="J22" s="184"/>
      <c r="K22" s="184"/>
      <c r="L22" s="184"/>
      <c r="M22" s="204"/>
      <c r="N22" s="379"/>
      <c r="O22" s="186" t="str">
        <f>Normtid!$AF13</f>
        <v/>
      </c>
      <c r="P22" s="188">
        <f t="shared" ca="1" si="5"/>
        <v>0</v>
      </c>
    </row>
    <row r="23" spans="2:16" ht="15.75" customHeight="1">
      <c r="B23" s="489" t="str">
        <f t="shared" ca="1" si="0"/>
        <v/>
      </c>
      <c r="C23" s="461" t="str">
        <f t="shared" ca="1" si="1"/>
        <v/>
      </c>
      <c r="D23" s="195">
        <f t="shared" ca="1" si="2"/>
        <v>0</v>
      </c>
      <c r="E23" s="196">
        <f t="shared" ca="1" si="3"/>
        <v>0</v>
      </c>
      <c r="F23" s="191">
        <f ca="1">IF(AND(H23&gt;=startdag,H23&lt;=slutdag),IF(TODAY()&gt;=H23,Normtid!AE14,0),0)</f>
        <v>0</v>
      </c>
      <c r="G23" s="405"/>
      <c r="H23" s="189">
        <f>Normtid!AD14</f>
        <v>44113</v>
      </c>
      <c r="I23" s="190" t="str">
        <f t="shared" si="4"/>
        <v>Tor</v>
      </c>
      <c r="J23" s="192"/>
      <c r="K23" s="192"/>
      <c r="L23" s="192"/>
      <c r="M23" s="202"/>
      <c r="N23" s="383"/>
      <c r="O23" s="194" t="str">
        <f>Normtid!$AF14</f>
        <v/>
      </c>
      <c r="P23" s="196">
        <f t="shared" ca="1" si="5"/>
        <v>0</v>
      </c>
    </row>
    <row r="24" spans="2:16" ht="15.75" customHeight="1">
      <c r="B24" s="490" t="str">
        <f t="shared" ca="1" si="0"/>
        <v/>
      </c>
      <c r="C24" s="463" t="str">
        <f t="shared" ca="1" si="1"/>
        <v/>
      </c>
      <c r="D24" s="388">
        <f t="shared" ca="1" si="2"/>
        <v>0</v>
      </c>
      <c r="E24" s="188">
        <f t="shared" ca="1" si="3"/>
        <v>0</v>
      </c>
      <c r="F24" s="183">
        <f ca="1">IF(AND(H24&gt;=startdag,H24&lt;=slutdag),IF(TODAY()&gt;=H24,Normtid!AE15,0),0)</f>
        <v>0</v>
      </c>
      <c r="G24" s="405"/>
      <c r="H24" s="181">
        <f>Normtid!AD15</f>
        <v>44114</v>
      </c>
      <c r="I24" s="182" t="str">
        <f t="shared" si="4"/>
        <v>Fre</v>
      </c>
      <c r="J24" s="184"/>
      <c r="K24" s="184"/>
      <c r="L24" s="184"/>
      <c r="M24" s="204"/>
      <c r="N24" s="379"/>
      <c r="O24" s="186" t="str">
        <f>Normtid!$AF15</f>
        <v/>
      </c>
      <c r="P24" s="188">
        <f t="shared" ca="1" si="5"/>
        <v>0</v>
      </c>
    </row>
    <row r="25" spans="2:16" ht="15.75" customHeight="1">
      <c r="B25" s="489" t="str">
        <f t="shared" ca="1" si="0"/>
        <v/>
      </c>
      <c r="C25" s="461" t="str">
        <f t="shared" ca="1" si="1"/>
        <v/>
      </c>
      <c r="D25" s="195">
        <f t="shared" ca="1" si="2"/>
        <v>0</v>
      </c>
      <c r="E25" s="196">
        <f t="shared" ca="1" si="3"/>
        <v>0</v>
      </c>
      <c r="F25" s="191">
        <f ca="1">IF(AND(H25&gt;=startdag,H25&lt;=slutdag),IF(TODAY()&gt;=H25,Normtid!AE16,0),0)</f>
        <v>0</v>
      </c>
      <c r="G25" s="405"/>
      <c r="H25" s="189">
        <f>Normtid!AD16</f>
        <v>44115</v>
      </c>
      <c r="I25" s="190" t="str">
        <f t="shared" si="4"/>
        <v>Lör</v>
      </c>
      <c r="J25" s="192"/>
      <c r="K25" s="192"/>
      <c r="L25" s="192"/>
      <c r="M25" s="202"/>
      <c r="N25" s="383"/>
      <c r="O25" s="194" t="str">
        <f>Normtid!$AF16</f>
        <v/>
      </c>
      <c r="P25" s="196">
        <f t="shared" ca="1" si="5"/>
        <v>0</v>
      </c>
    </row>
    <row r="26" spans="2:16" ht="15.75" customHeight="1">
      <c r="B26" s="490" t="str">
        <f t="shared" ca="1" si="0"/>
        <v/>
      </c>
      <c r="C26" s="463" t="str">
        <f t="shared" ca="1" si="1"/>
        <v/>
      </c>
      <c r="D26" s="388">
        <f t="shared" ca="1" si="2"/>
        <v>0</v>
      </c>
      <c r="E26" s="188">
        <f t="shared" ca="1" si="3"/>
        <v>0</v>
      </c>
      <c r="F26" s="183">
        <f ca="1">IF(AND(H26&gt;=startdag,H26&lt;=slutdag),IF(TODAY()&gt;=H26,Normtid!AE17,0),0)</f>
        <v>0</v>
      </c>
      <c r="G26" s="405"/>
      <c r="H26" s="181">
        <f>Normtid!AD17</f>
        <v>44116</v>
      </c>
      <c r="I26" s="182" t="str">
        <f t="shared" si="4"/>
        <v>Sön</v>
      </c>
      <c r="J26" s="184"/>
      <c r="K26" s="184"/>
      <c r="L26" s="184"/>
      <c r="M26" s="204"/>
      <c r="N26" s="379"/>
      <c r="O26" s="186" t="str">
        <f>Normtid!$AF17</f>
        <v/>
      </c>
      <c r="P26" s="188">
        <f t="shared" ca="1" si="5"/>
        <v>0</v>
      </c>
    </row>
    <row r="27" spans="2:16" ht="15.75" customHeight="1">
      <c r="B27" s="489" t="str">
        <f t="shared" ca="1" si="0"/>
        <v/>
      </c>
      <c r="C27" s="461" t="str">
        <f t="shared" ca="1" si="1"/>
        <v/>
      </c>
      <c r="D27" s="195">
        <f t="shared" ca="1" si="2"/>
        <v>0</v>
      </c>
      <c r="E27" s="196">
        <f t="shared" ca="1" si="3"/>
        <v>0</v>
      </c>
      <c r="F27" s="191">
        <f ca="1">IF(AND(H27&gt;=startdag,H27&lt;=slutdag),IF(TODAY()&gt;=H27,Normtid!AE18,0),0)</f>
        <v>0</v>
      </c>
      <c r="G27" s="405"/>
      <c r="H27" s="189">
        <f>Normtid!AD18</f>
        <v>44117</v>
      </c>
      <c r="I27" s="190" t="str">
        <f t="shared" si="4"/>
        <v>Mån</v>
      </c>
      <c r="J27" s="192"/>
      <c r="K27" s="192"/>
      <c r="L27" s="192"/>
      <c r="M27" s="202"/>
      <c r="N27" s="383"/>
      <c r="O27" s="194" t="str">
        <f>Normtid!$AF18</f>
        <v/>
      </c>
      <c r="P27" s="196">
        <f t="shared" ca="1" si="5"/>
        <v>0</v>
      </c>
    </row>
    <row r="28" spans="2:16" ht="15.75" customHeight="1">
      <c r="B28" s="490" t="str">
        <f t="shared" ca="1" si="0"/>
        <v/>
      </c>
      <c r="C28" s="463" t="str">
        <f t="shared" ca="1" si="1"/>
        <v/>
      </c>
      <c r="D28" s="388">
        <f t="shared" ca="1" si="2"/>
        <v>0</v>
      </c>
      <c r="E28" s="188">
        <f t="shared" ca="1" si="3"/>
        <v>0</v>
      </c>
      <c r="F28" s="183">
        <f ca="1">IF(AND(H28&gt;=startdag,H28&lt;=slutdag),IF(TODAY()&gt;=H28,Normtid!AE19,0),0)</f>
        <v>0</v>
      </c>
      <c r="G28" s="405"/>
      <c r="H28" s="181">
        <f>Normtid!AD19</f>
        <v>44118</v>
      </c>
      <c r="I28" s="182" t="str">
        <f t="shared" si="4"/>
        <v>Tis</v>
      </c>
      <c r="J28" s="184"/>
      <c r="K28" s="184"/>
      <c r="L28" s="184"/>
      <c r="M28" s="204"/>
      <c r="N28" s="379"/>
      <c r="O28" s="186" t="str">
        <f>Normtid!$AF19</f>
        <v/>
      </c>
      <c r="P28" s="188">
        <f t="shared" ca="1" si="5"/>
        <v>0</v>
      </c>
    </row>
    <row r="29" spans="2:16" ht="15.75" customHeight="1">
      <c r="B29" s="489" t="str">
        <f t="shared" ca="1" si="0"/>
        <v/>
      </c>
      <c r="C29" s="461" t="str">
        <f t="shared" ca="1" si="1"/>
        <v/>
      </c>
      <c r="D29" s="195">
        <f t="shared" ca="1" si="2"/>
        <v>0</v>
      </c>
      <c r="E29" s="196">
        <f t="shared" ca="1" si="3"/>
        <v>0</v>
      </c>
      <c r="F29" s="191">
        <f ca="1">IF(AND(H29&gt;=startdag,H29&lt;=slutdag),IF(TODAY()&gt;=H29,Normtid!AE20,0),0)</f>
        <v>0</v>
      </c>
      <c r="G29" s="405"/>
      <c r="H29" s="189">
        <f>Normtid!AD20</f>
        <v>44119</v>
      </c>
      <c r="I29" s="190" t="str">
        <f t="shared" si="4"/>
        <v>Ons</v>
      </c>
      <c r="J29" s="192"/>
      <c r="K29" s="192"/>
      <c r="L29" s="192"/>
      <c r="M29" s="202"/>
      <c r="N29" s="383"/>
      <c r="O29" s="194" t="str">
        <f>Normtid!$AF20</f>
        <v/>
      </c>
      <c r="P29" s="196">
        <f t="shared" ca="1" si="5"/>
        <v>0</v>
      </c>
    </row>
    <row r="30" spans="2:16" ht="15.75" customHeight="1">
      <c r="B30" s="490" t="str">
        <f t="shared" ca="1" si="0"/>
        <v/>
      </c>
      <c r="C30" s="463" t="str">
        <f t="shared" ca="1" si="1"/>
        <v/>
      </c>
      <c r="D30" s="388">
        <f t="shared" ca="1" si="2"/>
        <v>0</v>
      </c>
      <c r="E30" s="188">
        <f t="shared" ca="1" si="3"/>
        <v>0</v>
      </c>
      <c r="F30" s="183">
        <f ca="1">IF(AND(H30&gt;=startdag,H30&lt;=slutdag),IF(TODAY()&gt;=H30,Normtid!AE21,0),0)</f>
        <v>0</v>
      </c>
      <c r="G30" s="405"/>
      <c r="H30" s="181">
        <f>Normtid!AD21</f>
        <v>44120</v>
      </c>
      <c r="I30" s="182" t="str">
        <f t="shared" si="4"/>
        <v>Tor</v>
      </c>
      <c r="J30" s="184"/>
      <c r="K30" s="184"/>
      <c r="L30" s="184"/>
      <c r="M30" s="204"/>
      <c r="N30" s="379"/>
      <c r="O30" s="186" t="str">
        <f>Normtid!$AF21</f>
        <v/>
      </c>
      <c r="P30" s="188">
        <f t="shared" ca="1" si="5"/>
        <v>0</v>
      </c>
    </row>
    <row r="31" spans="2:16" ht="15.75" customHeight="1">
      <c r="B31" s="489" t="str">
        <f t="shared" ca="1" si="0"/>
        <v/>
      </c>
      <c r="C31" s="461" t="str">
        <f t="shared" ca="1" si="1"/>
        <v/>
      </c>
      <c r="D31" s="195">
        <f t="shared" ca="1" si="2"/>
        <v>0</v>
      </c>
      <c r="E31" s="196">
        <f t="shared" ca="1" si="3"/>
        <v>0</v>
      </c>
      <c r="F31" s="191">
        <f ca="1">IF(AND(H31&gt;=startdag,H31&lt;=slutdag),IF(TODAY()&gt;=H31,Normtid!AE22,0),0)</f>
        <v>0</v>
      </c>
      <c r="G31" s="405"/>
      <c r="H31" s="189">
        <f>Normtid!AD22</f>
        <v>44121</v>
      </c>
      <c r="I31" s="190" t="str">
        <f t="shared" si="4"/>
        <v>Fre</v>
      </c>
      <c r="J31" s="192"/>
      <c r="K31" s="192"/>
      <c r="L31" s="192"/>
      <c r="M31" s="202"/>
      <c r="N31" s="383"/>
      <c r="O31" s="194" t="str">
        <f>Normtid!$AF22</f>
        <v/>
      </c>
      <c r="P31" s="196">
        <f t="shared" ca="1" si="5"/>
        <v>0</v>
      </c>
    </row>
    <row r="32" spans="2:16" ht="15.75" customHeight="1">
      <c r="B32" s="490" t="str">
        <f t="shared" ca="1" si="0"/>
        <v/>
      </c>
      <c r="C32" s="463" t="str">
        <f t="shared" ca="1" si="1"/>
        <v/>
      </c>
      <c r="D32" s="388">
        <f t="shared" ca="1" si="2"/>
        <v>0</v>
      </c>
      <c r="E32" s="188">
        <f t="shared" ca="1" si="3"/>
        <v>0</v>
      </c>
      <c r="F32" s="183">
        <f ca="1">IF(AND(H32&gt;=startdag,H32&lt;=slutdag),IF(TODAY()&gt;=H32,Normtid!AE23,0),0)</f>
        <v>0</v>
      </c>
      <c r="G32" s="405"/>
      <c r="H32" s="181">
        <f>Normtid!AD23</f>
        <v>44122</v>
      </c>
      <c r="I32" s="182" t="str">
        <f t="shared" si="4"/>
        <v>Lör</v>
      </c>
      <c r="J32" s="184"/>
      <c r="K32" s="184"/>
      <c r="L32" s="184"/>
      <c r="M32" s="204"/>
      <c r="N32" s="379"/>
      <c r="O32" s="186" t="str">
        <f>Normtid!$AF23</f>
        <v/>
      </c>
      <c r="P32" s="188">
        <f t="shared" ca="1" si="5"/>
        <v>0</v>
      </c>
    </row>
    <row r="33" spans="1:16" ht="15.75" customHeight="1">
      <c r="B33" s="489" t="str">
        <f t="shared" ca="1" si="0"/>
        <v/>
      </c>
      <c r="C33" s="461" t="str">
        <f t="shared" ca="1" si="1"/>
        <v/>
      </c>
      <c r="D33" s="195">
        <f t="shared" ca="1" si="2"/>
        <v>0</v>
      </c>
      <c r="E33" s="196">
        <f t="shared" ca="1" si="3"/>
        <v>0</v>
      </c>
      <c r="F33" s="191">
        <f ca="1">IF(AND(H33&gt;=startdag,H33&lt;=slutdag),IF(TODAY()&gt;=H33,Normtid!AE24,0),0)</f>
        <v>0</v>
      </c>
      <c r="G33" s="405"/>
      <c r="H33" s="189">
        <f>Normtid!AD24</f>
        <v>44123</v>
      </c>
      <c r="I33" s="190" t="str">
        <f t="shared" si="4"/>
        <v>Sön</v>
      </c>
      <c r="J33" s="192"/>
      <c r="K33" s="192"/>
      <c r="L33" s="192"/>
      <c r="M33" s="202"/>
      <c r="N33" s="383"/>
      <c r="O33" s="194" t="str">
        <f>Normtid!$AF24</f>
        <v/>
      </c>
      <c r="P33" s="196">
        <f t="shared" ca="1" si="5"/>
        <v>0</v>
      </c>
    </row>
    <row r="34" spans="1:16" ht="15.75" customHeight="1">
      <c r="B34" s="490" t="str">
        <f t="shared" ca="1" si="0"/>
        <v/>
      </c>
      <c r="C34" s="463" t="str">
        <f t="shared" ca="1" si="1"/>
        <v/>
      </c>
      <c r="D34" s="388">
        <f t="shared" ca="1" si="2"/>
        <v>0</v>
      </c>
      <c r="E34" s="188">
        <f t="shared" ca="1" si="3"/>
        <v>0</v>
      </c>
      <c r="F34" s="183">
        <f ca="1">IF(AND(H34&gt;=startdag,H34&lt;=slutdag),IF(TODAY()&gt;=H34,Normtid!AE25,0),0)</f>
        <v>0</v>
      </c>
      <c r="G34" s="405"/>
      <c r="H34" s="181">
        <f>Normtid!AD25</f>
        <v>44124</v>
      </c>
      <c r="I34" s="182" t="str">
        <f t="shared" si="4"/>
        <v>Mån</v>
      </c>
      <c r="J34" s="184"/>
      <c r="K34" s="184"/>
      <c r="L34" s="184"/>
      <c r="M34" s="204"/>
      <c r="N34" s="379"/>
      <c r="O34" s="186" t="str">
        <f>Normtid!$AF25</f>
        <v/>
      </c>
      <c r="P34" s="188">
        <f t="shared" ca="1" si="5"/>
        <v>0</v>
      </c>
    </row>
    <row r="35" spans="1:16" ht="15.75" customHeight="1">
      <c r="B35" s="489" t="str">
        <f t="shared" ca="1" si="0"/>
        <v/>
      </c>
      <c r="C35" s="461" t="str">
        <f t="shared" ca="1" si="1"/>
        <v/>
      </c>
      <c r="D35" s="195">
        <f t="shared" ca="1" si="2"/>
        <v>0</v>
      </c>
      <c r="E35" s="196">
        <f t="shared" ca="1" si="3"/>
        <v>0</v>
      </c>
      <c r="F35" s="191">
        <f ca="1">IF(AND(H35&gt;=startdag,H35&lt;=slutdag),IF(TODAY()&gt;=H35,Normtid!AE26,0),0)</f>
        <v>0</v>
      </c>
      <c r="G35" s="405"/>
      <c r="H35" s="189">
        <f>Normtid!AD26</f>
        <v>44125</v>
      </c>
      <c r="I35" s="190" t="str">
        <f t="shared" si="4"/>
        <v>Tis</v>
      </c>
      <c r="J35" s="192"/>
      <c r="K35" s="192"/>
      <c r="L35" s="192"/>
      <c r="M35" s="202"/>
      <c r="N35" s="383"/>
      <c r="O35" s="194" t="str">
        <f>Normtid!$AF26</f>
        <v/>
      </c>
      <c r="P35" s="196">
        <f t="shared" ca="1" si="5"/>
        <v>0</v>
      </c>
    </row>
    <row r="36" spans="1:16" ht="15.75" customHeight="1">
      <c r="B36" s="490" t="str">
        <f t="shared" ca="1" si="0"/>
        <v/>
      </c>
      <c r="C36" s="463" t="str">
        <f t="shared" ca="1" si="1"/>
        <v/>
      </c>
      <c r="D36" s="388">
        <f t="shared" ca="1" si="2"/>
        <v>0</v>
      </c>
      <c r="E36" s="188">
        <f t="shared" ca="1" si="3"/>
        <v>0</v>
      </c>
      <c r="F36" s="183">
        <f ca="1">IF(AND(H36&gt;=startdag,H36&lt;=slutdag),IF(TODAY()&gt;=H36,Normtid!AE27,0),0)</f>
        <v>0</v>
      </c>
      <c r="G36" s="405"/>
      <c r="H36" s="181">
        <f>Normtid!AD27</f>
        <v>44126</v>
      </c>
      <c r="I36" s="182" t="str">
        <f t="shared" si="4"/>
        <v>Ons</v>
      </c>
      <c r="J36" s="184"/>
      <c r="K36" s="184"/>
      <c r="L36" s="184"/>
      <c r="M36" s="204"/>
      <c r="N36" s="379"/>
      <c r="O36" s="186" t="str">
        <f>Normtid!$AF27</f>
        <v/>
      </c>
      <c r="P36" s="188">
        <f t="shared" ca="1" si="5"/>
        <v>0</v>
      </c>
    </row>
    <row r="37" spans="1:16" ht="15.75" customHeight="1">
      <c r="B37" s="489" t="str">
        <f t="shared" ca="1" si="0"/>
        <v/>
      </c>
      <c r="C37" s="461" t="str">
        <f t="shared" ca="1" si="1"/>
        <v/>
      </c>
      <c r="D37" s="195">
        <f t="shared" ca="1" si="2"/>
        <v>0</v>
      </c>
      <c r="E37" s="196">
        <f t="shared" ca="1" si="3"/>
        <v>0</v>
      </c>
      <c r="F37" s="191">
        <f ca="1">IF(AND(H37&gt;=startdag,H37&lt;=slutdag),IF(TODAY()&gt;=H37,Normtid!AE28,0),0)</f>
        <v>0</v>
      </c>
      <c r="G37" s="405"/>
      <c r="H37" s="189">
        <f>Normtid!AD28</f>
        <v>44127</v>
      </c>
      <c r="I37" s="190" t="str">
        <f t="shared" si="4"/>
        <v>Tor</v>
      </c>
      <c r="J37" s="192"/>
      <c r="K37" s="192"/>
      <c r="L37" s="192"/>
      <c r="M37" s="202"/>
      <c r="N37" s="383"/>
      <c r="O37" s="194" t="str">
        <f>Normtid!$AF28</f>
        <v/>
      </c>
      <c r="P37" s="196">
        <f t="shared" ca="1" si="5"/>
        <v>0</v>
      </c>
    </row>
    <row r="38" spans="1:16" ht="15.75" customHeight="1">
      <c r="B38" s="490" t="str">
        <f t="shared" ca="1" si="0"/>
        <v/>
      </c>
      <c r="C38" s="463" t="str">
        <f t="shared" ca="1" si="1"/>
        <v/>
      </c>
      <c r="D38" s="388">
        <f t="shared" ca="1" si="2"/>
        <v>0</v>
      </c>
      <c r="E38" s="188">
        <f t="shared" ca="1" si="3"/>
        <v>0</v>
      </c>
      <c r="F38" s="183">
        <f ca="1">IF(AND(H38&gt;=startdag,H38&lt;=slutdag),IF(TODAY()&gt;=H38,Normtid!AE29,0),0)</f>
        <v>0</v>
      </c>
      <c r="G38" s="405"/>
      <c r="H38" s="181">
        <f>Normtid!AD29</f>
        <v>44128</v>
      </c>
      <c r="I38" s="182" t="str">
        <f t="shared" si="4"/>
        <v>Fre</v>
      </c>
      <c r="J38" s="184"/>
      <c r="K38" s="184"/>
      <c r="L38" s="184"/>
      <c r="M38" s="204"/>
      <c r="N38" s="379"/>
      <c r="O38" s="186" t="str">
        <f>Normtid!$AF29</f>
        <v/>
      </c>
      <c r="P38" s="188">
        <f t="shared" ca="1" si="5"/>
        <v>0</v>
      </c>
    </row>
    <row r="39" spans="1:16" ht="15.75" customHeight="1">
      <c r="B39" s="489" t="str">
        <f t="shared" ca="1" si="0"/>
        <v/>
      </c>
      <c r="C39" s="461" t="str">
        <f t="shared" ca="1" si="1"/>
        <v/>
      </c>
      <c r="D39" s="195">
        <f t="shared" ca="1" si="2"/>
        <v>0</v>
      </c>
      <c r="E39" s="196">
        <f t="shared" ca="1" si="3"/>
        <v>0</v>
      </c>
      <c r="F39" s="191">
        <f ca="1">IF(AND(H39&gt;=startdag,H39&lt;=slutdag),IF(TODAY()&gt;=H39,Normtid!AE30,0),0)</f>
        <v>0</v>
      </c>
      <c r="G39" s="405"/>
      <c r="H39" s="189">
        <f>Normtid!AD30</f>
        <v>44129</v>
      </c>
      <c r="I39" s="190" t="str">
        <f t="shared" si="4"/>
        <v>Lör</v>
      </c>
      <c r="J39" s="192"/>
      <c r="K39" s="192"/>
      <c r="L39" s="192"/>
      <c r="M39" s="202"/>
      <c r="N39" s="383"/>
      <c r="O39" s="194" t="str">
        <f>Normtid!$AF30</f>
        <v/>
      </c>
      <c r="P39" s="196">
        <f t="shared" ca="1" si="5"/>
        <v>0</v>
      </c>
    </row>
    <row r="40" spans="1:16" ht="15.75" customHeight="1">
      <c r="B40" s="490" t="str">
        <f t="shared" ca="1" si="0"/>
        <v/>
      </c>
      <c r="C40" s="463" t="str">
        <f t="shared" ca="1" si="1"/>
        <v/>
      </c>
      <c r="D40" s="388">
        <f t="shared" ca="1" si="2"/>
        <v>0</v>
      </c>
      <c r="E40" s="188">
        <f t="shared" ca="1" si="3"/>
        <v>0</v>
      </c>
      <c r="F40" s="183">
        <f ca="1">IF(AND(H40&gt;=startdag,H40&lt;=slutdag),IF(TODAY()&gt;=H40,Normtid!AE31,0),0)</f>
        <v>0</v>
      </c>
      <c r="G40" s="405"/>
      <c r="H40" s="181">
        <f>Normtid!AD31</f>
        <v>44130</v>
      </c>
      <c r="I40" s="182" t="str">
        <f t="shared" si="4"/>
        <v>Sön</v>
      </c>
      <c r="J40" s="184"/>
      <c r="K40" s="184"/>
      <c r="L40" s="184"/>
      <c r="M40" s="204"/>
      <c r="N40" s="379"/>
      <c r="O40" s="186" t="str">
        <f>Normtid!$AF31</f>
        <v/>
      </c>
      <c r="P40" s="188">
        <f t="shared" ca="1" si="5"/>
        <v>0</v>
      </c>
    </row>
    <row r="41" spans="1:16" ht="15.75" customHeight="1">
      <c r="B41" s="489" t="str">
        <f t="shared" ca="1" si="0"/>
        <v/>
      </c>
      <c r="C41" s="461" t="str">
        <f t="shared" ca="1" si="1"/>
        <v/>
      </c>
      <c r="D41" s="195">
        <f t="shared" ca="1" si="2"/>
        <v>0</v>
      </c>
      <c r="E41" s="196">
        <f t="shared" ca="1" si="3"/>
        <v>0</v>
      </c>
      <c r="F41" s="191">
        <f ca="1">IF(AND(H41&gt;=startdag,H41&lt;=slutdag),IF(TODAY()&gt;=H41,Normtid!AE32,0),0)</f>
        <v>0</v>
      </c>
      <c r="G41" s="405"/>
      <c r="H41" s="189">
        <f>Normtid!AD32</f>
        <v>44131</v>
      </c>
      <c r="I41" s="190" t="str">
        <f t="shared" si="4"/>
        <v>Mån</v>
      </c>
      <c r="J41" s="192"/>
      <c r="K41" s="192"/>
      <c r="L41" s="192"/>
      <c r="M41" s="202"/>
      <c r="N41" s="383"/>
      <c r="O41" s="194" t="str">
        <f>Normtid!$AF32</f>
        <v/>
      </c>
      <c r="P41" s="196">
        <f t="shared" ca="1" si="5"/>
        <v>0</v>
      </c>
    </row>
    <row r="42" spans="1:16" ht="15.75" customHeight="1">
      <c r="B42" s="490" t="str">
        <f t="shared" ca="1" si="0"/>
        <v/>
      </c>
      <c r="C42" s="463" t="str">
        <f t="shared" ca="1" si="1"/>
        <v/>
      </c>
      <c r="D42" s="388">
        <f t="shared" ca="1" si="2"/>
        <v>0</v>
      </c>
      <c r="E42" s="188">
        <f t="shared" ca="1" si="3"/>
        <v>0</v>
      </c>
      <c r="F42" s="183">
        <f ca="1">IF(AND(H42&gt;=startdag,H42&lt;=slutdag),IF(TODAY()&gt;=H42,Normtid!AE33,0),0)</f>
        <v>0</v>
      </c>
      <c r="G42" s="405"/>
      <c r="H42" s="181">
        <f>Normtid!AD33</f>
        <v>44132</v>
      </c>
      <c r="I42" s="182" t="str">
        <f t="shared" si="4"/>
        <v>Tis</v>
      </c>
      <c r="J42" s="184"/>
      <c r="K42" s="184"/>
      <c r="L42" s="184"/>
      <c r="M42" s="204"/>
      <c r="N42" s="379"/>
      <c r="O42" s="186" t="str">
        <f>Normtid!$AF33</f>
        <v/>
      </c>
      <c r="P42" s="188">
        <f t="shared" ca="1" si="5"/>
        <v>0</v>
      </c>
    </row>
    <row r="43" spans="1:16" ht="15.75" customHeight="1">
      <c r="B43" s="489" t="str">
        <f t="shared" ca="1" si="0"/>
        <v/>
      </c>
      <c r="C43" s="461" t="str">
        <f t="shared" ca="1" si="1"/>
        <v/>
      </c>
      <c r="D43" s="195">
        <f t="shared" ca="1" si="2"/>
        <v>0</v>
      </c>
      <c r="E43" s="196">
        <f t="shared" ca="1" si="3"/>
        <v>0</v>
      </c>
      <c r="F43" s="191">
        <f ca="1">IF(AND(H43&gt;=startdag,H43&lt;=slutdag),IF(TODAY()&gt;=H43,Normtid!AE34,0),0)</f>
        <v>0</v>
      </c>
      <c r="G43" s="405"/>
      <c r="H43" s="189">
        <f>Normtid!AD34</f>
        <v>44133</v>
      </c>
      <c r="I43" s="190" t="str">
        <f t="shared" si="4"/>
        <v>Ons</v>
      </c>
      <c r="J43" s="192"/>
      <c r="K43" s="192"/>
      <c r="L43" s="192"/>
      <c r="M43" s="202"/>
      <c r="N43" s="383"/>
      <c r="O43" s="194" t="str">
        <f>Normtid!$AF34</f>
        <v/>
      </c>
      <c r="P43" s="196">
        <f t="shared" ca="1" si="5"/>
        <v>0</v>
      </c>
    </row>
    <row r="44" spans="1:16" ht="15.75" customHeight="1">
      <c r="B44" s="491" t="str">
        <f t="shared" ca="1" si="0"/>
        <v/>
      </c>
      <c r="C44" s="465" t="str">
        <f t="shared" ca="1" si="1"/>
        <v/>
      </c>
      <c r="D44" s="389">
        <f t="shared" ca="1" si="2"/>
        <v>0</v>
      </c>
      <c r="E44" s="91">
        <f t="shared" ca="1" si="3"/>
        <v>0</v>
      </c>
      <c r="F44" s="220">
        <f ca="1">IF(AND(H44&gt;=startdag,H44&lt;=slutdag),IF(TODAY()&gt;=H44,Normtid!AE35,0),0)</f>
        <v>0</v>
      </c>
      <c r="G44" s="405"/>
      <c r="H44" s="45">
        <f>Normtid!AD35</f>
        <v>44134</v>
      </c>
      <c r="I44" s="46" t="str">
        <f t="shared" si="4"/>
        <v>Tor</v>
      </c>
      <c r="J44" s="48"/>
      <c r="K44" s="48"/>
      <c r="L44" s="48"/>
      <c r="M44" s="49"/>
      <c r="N44" s="382"/>
      <c r="O44" s="102" t="str">
        <f>Normtid!$AF35</f>
        <v/>
      </c>
      <c r="P44" s="91">
        <f t="shared" ca="1" si="5"/>
        <v>0</v>
      </c>
    </row>
    <row r="45" spans="1:16" ht="15.75" customHeight="1" thickBot="1">
      <c r="A45" s="30"/>
      <c r="B45" s="17"/>
      <c r="C45" s="472"/>
      <c r="D45" s="80"/>
      <c r="E45" s="80"/>
      <c r="F45" s="80"/>
      <c r="G45" s="80"/>
      <c r="H45" s="80"/>
      <c r="I45" s="80"/>
      <c r="J45" s="81"/>
      <c r="K45" s="80"/>
      <c r="L45" s="80"/>
      <c r="M45" s="80"/>
      <c r="N45" s="80"/>
      <c r="O45" s="80"/>
      <c r="P45" s="80"/>
    </row>
    <row r="46" spans="1:16" ht="12.9">
      <c r="A46" s="548" t="str">
        <f>Felinfo!H10</f>
        <v>Flex 99:03C • huk-51 • ©</v>
      </c>
      <c r="C46" s="492"/>
      <c r="D46" s="64"/>
      <c r="E46" s="64"/>
      <c r="F46" s="17"/>
      <c r="G46" s="17"/>
      <c r="H46" s="51" t="str">
        <f ca="1">"Summa arbetad tid"&amp;IF(MONTH(H14)=MONTH(TODAY())," t o m ""i dag""","")</f>
        <v>Summa arbetad tid</v>
      </c>
      <c r="I46" s="52"/>
      <c r="J46" s="53"/>
      <c r="K46" s="53"/>
      <c r="L46" s="53"/>
      <c r="M46" s="53"/>
      <c r="N46" s="54"/>
      <c r="O46" s="52"/>
      <c r="P46" s="197">
        <f ca="1">IF(TODAY()&gt;=H14,SUMIF(P14:P44,"&gt;0"),0)</f>
        <v>0</v>
      </c>
    </row>
    <row r="47" spans="1:16" ht="14.25" customHeight="1">
      <c r="A47" s="568"/>
      <c r="C47" s="492"/>
      <c r="D47" s="60"/>
      <c r="E47" s="60"/>
      <c r="F47" s="17"/>
      <c r="G47" s="17"/>
      <c r="H47" s="56" t="str">
        <f ca="1">IF(MONTH(H14)=MONTH(TODAY()),"Månadens normalarbetstid t o m idag","Normalarbetstid för månaden")&amp;IF(AND(MONTH(TODAY())&gt;=MONTH(H14),N8&lt;&gt;1)," (normtid "&amp;SUM(F14:F44)&amp;" tim * tjänsteomfattning "&amp;TEXT(N8*1000,"## %)"),"")</f>
        <v>Normalarbetstid för månaden</v>
      </c>
      <c r="I47" s="17"/>
      <c r="J47" s="57"/>
      <c r="K47" s="57"/>
      <c r="L47" s="57"/>
      <c r="M47" s="57"/>
      <c r="N47" s="58"/>
      <c r="O47" s="59"/>
      <c r="P47" s="198">
        <f ca="1">IF(AND(TODAY()&gt;=H14,MONTH(H14)&gt;=MONTH(Grunddata!C22)),SUM(F14:F44)*N8,0)</f>
        <v>0</v>
      </c>
    </row>
    <row r="48" spans="1:16" ht="14.25" customHeight="1">
      <c r="A48" s="568"/>
      <c r="C48" s="492"/>
      <c r="D48" s="64"/>
      <c r="E48" s="64"/>
      <c r="F48" s="17"/>
      <c r="G48" s="17"/>
      <c r="H48" s="56" t="s">
        <v>35</v>
      </c>
      <c r="I48" s="17"/>
      <c r="J48" s="57"/>
      <c r="K48" s="61"/>
      <c r="L48" s="62"/>
      <c r="M48" s="63"/>
      <c r="N48" s="63"/>
      <c r="O48" s="63"/>
      <c r="P48" s="308">
        <f ca="1">IF(TODAY()&gt;=H14,IF(AND(MONTH(H14)=MONTH(Grunddata!C22),flyttsaldo&lt;&gt;0),flyttsaldo,SEP!P50),0)</f>
        <v>0</v>
      </c>
    </row>
    <row r="49" spans="1:16" ht="14.25" customHeight="1">
      <c r="A49" s="568"/>
      <c r="C49" s="492"/>
      <c r="D49" s="64"/>
      <c r="E49" s="64"/>
      <c r="F49" s="17"/>
      <c r="G49" s="17"/>
      <c r="H49" s="56" t="str">
        <f>IF(tjänst=1,"Över","Mer")&amp;"tidstimmar (ersättning utbetalad med "&amp;TEXT(H14,"MMMM")&amp;"lönen)"</f>
        <v>Övertidstimmar (ersättning utbetalad med oktoberlönen)</v>
      </c>
      <c r="I49" s="17"/>
      <c r="J49" s="57"/>
      <c r="K49" s="61"/>
      <c r="L49" s="62"/>
      <c r="M49" s="63"/>
      <c r="N49" s="63"/>
      <c r="O49" s="63"/>
      <c r="P49" s="372"/>
    </row>
    <row r="50" spans="1:16" ht="14.25" customHeight="1">
      <c r="A50" s="568"/>
      <c r="C50" s="492"/>
      <c r="D50" s="64"/>
      <c r="E50" s="64"/>
      <c r="F50" s="17"/>
      <c r="G50" s="17"/>
      <c r="H50" s="65" t="str">
        <f ca="1">IF(MONTH(H14)=MONTH(TODAY()),"Dagens saldo +/-","Nytt saldo +/-")</f>
        <v>Nytt saldo +/-</v>
      </c>
      <c r="I50" s="66"/>
      <c r="J50" s="67"/>
      <c r="K50" s="68"/>
      <c r="L50" s="69"/>
      <c r="M50" s="69"/>
      <c r="N50" s="69"/>
      <c r="O50" s="69"/>
      <c r="P50" s="469">
        <f ca="1">IF(TODAY()&gt;=H14,P46-P47+P48-ABS(P49),0)</f>
        <v>0</v>
      </c>
    </row>
    <row r="51" spans="1:16" ht="14.25" customHeight="1" thickBot="1">
      <c r="A51" s="568"/>
      <c r="C51" s="492"/>
      <c r="D51" s="64"/>
      <c r="E51" s="64"/>
      <c r="F51" s="17"/>
      <c r="G51" s="17"/>
      <c r="H51" s="71" t="s">
        <v>29</v>
      </c>
      <c r="I51" s="72"/>
      <c r="J51" s="73"/>
      <c r="K51" s="74">
        <f ca="1">IF(L51&gt;0,"månadens: ",)</f>
        <v>0</v>
      </c>
      <c r="L51" s="75">
        <f ca="1">MOD(SUM(D14:D44),100)</f>
        <v>0</v>
      </c>
      <c r="M51" s="76">
        <f ca="1">IF(N51&gt;0,"årets: ",)</f>
        <v>0</v>
      </c>
      <c r="N51" s="75">
        <f ca="1">'2024'!K23</f>
        <v>0</v>
      </c>
      <c r="O51" s="77" t="str">
        <f ca="1">"  kvarstående:  "&amp;'2024'!$L23</f>
        <v xml:space="preserve">  kvarstående:  0</v>
      </c>
      <c r="P51" s="79"/>
    </row>
    <row r="52" spans="1:16" ht="12" customHeight="1">
      <c r="A52" s="568"/>
      <c r="C52" s="492"/>
      <c r="F52" s="17"/>
      <c r="G52" s="17"/>
      <c r="H52" s="427" t="s">
        <v>75</v>
      </c>
      <c r="I52" s="428"/>
      <c r="J52" s="429"/>
      <c r="K52" s="430" t="s">
        <v>27</v>
      </c>
      <c r="L52" s="431"/>
      <c r="M52" s="431"/>
      <c r="N52" s="432"/>
      <c r="O52" s="433"/>
      <c r="P52" s="434"/>
    </row>
    <row r="53" spans="1:16" ht="27.75" customHeight="1" thickBot="1">
      <c r="A53" s="568"/>
      <c r="F53" s="467"/>
      <c r="G53" s="467"/>
      <c r="H53" s="561"/>
      <c r="I53" s="566"/>
      <c r="J53" s="567"/>
      <c r="K53" s="7"/>
      <c r="L53" s="7"/>
      <c r="M53" s="7"/>
      <c r="N53" s="9"/>
      <c r="O53" s="3"/>
      <c r="P53" s="4"/>
    </row>
    <row r="54" spans="1:16" ht="12" customHeight="1" thickBot="1">
      <c r="A54" s="360"/>
    </row>
    <row r="55" spans="1:16" ht="12" customHeight="1">
      <c r="A55" s="360"/>
      <c r="F55" s="472"/>
      <c r="G55" s="472"/>
      <c r="H55" s="5" t="s">
        <v>19</v>
      </c>
      <c r="I55" s="5"/>
      <c r="J55" s="427" t="s">
        <v>75</v>
      </c>
      <c r="K55" s="429"/>
      <c r="L55" s="430" t="s">
        <v>26</v>
      </c>
      <c r="M55" s="431"/>
      <c r="N55" s="432"/>
      <c r="O55" s="433"/>
      <c r="P55" s="435"/>
    </row>
    <row r="56" spans="1:16" ht="27.75" customHeight="1" thickBot="1">
      <c r="A56" s="360"/>
      <c r="F56" s="472"/>
      <c r="G56" s="472"/>
      <c r="J56" s="11"/>
      <c r="K56" s="10"/>
      <c r="L56" s="7"/>
      <c r="M56" s="7"/>
      <c r="N56" s="9"/>
      <c r="O56" s="3"/>
      <c r="P56" s="4"/>
    </row>
    <row r="59" spans="1:16">
      <c r="C59" s="318"/>
      <c r="D59" s="64"/>
      <c r="E59" s="64"/>
      <c r="F59" s="17"/>
      <c r="G59" s="17"/>
    </row>
    <row r="60" spans="1:16">
      <c r="C60" s="318"/>
      <c r="D60" s="64"/>
      <c r="E60" s="64"/>
      <c r="F60" s="17"/>
      <c r="G60" s="17"/>
    </row>
    <row r="61" spans="1:16">
      <c r="C61" s="318"/>
      <c r="D61" s="64"/>
      <c r="E61" s="64"/>
      <c r="F61" s="17"/>
      <c r="G61" s="17"/>
    </row>
    <row r="62" spans="1:16">
      <c r="C62" s="318"/>
      <c r="D62" s="64"/>
      <c r="E62" s="64"/>
      <c r="F62" s="17"/>
      <c r="G62" s="17"/>
    </row>
  </sheetData>
  <sheetProtection password="C38D" sheet="1" objects="1" scenarios="1"/>
  <mergeCells count="4">
    <mergeCell ref="A46:A53"/>
    <mergeCell ref="B10:C10"/>
    <mergeCell ref="J13:O13"/>
    <mergeCell ref="H53:J53"/>
  </mergeCells>
  <phoneticPr fontId="0" type="noConversion"/>
  <conditionalFormatting sqref="A14">
    <cfRule type="cellIs" dxfId="5" priority="1" stopIfTrue="1" operator="greaterThan">
      <formula>0</formula>
    </cfRule>
  </conditionalFormatting>
  <conditionalFormatting sqref="J45 L48:L49">
    <cfRule type="cellIs" dxfId="4" priority="2" stopIfTrue="1" operator="greaterThan">
      <formula>0</formula>
    </cfRule>
  </conditionalFormatting>
  <dataValidations count="1">
    <dataValidation allowBlank="1" showInputMessage="1" showErrorMessage="1" error="Timme och minut måste skiljas med_x000a_- kolon på pc_x000a_- punkt på Mac" sqref="L5 J14:M44" xr:uid="{00000000-0002-0000-0F00-000000000000}"/>
  </dataValidations>
  <printOptions verticalCentered="1"/>
  <pageMargins left="0.6692913385826772" right="0.47244094488188981" top="0.78740157480314965" bottom="0.62992125984251968" header="0.51181102362204722" footer="0.51181102362204722"/>
  <pageSetup paperSize="9" scale="87" orientation="portrait" blackAndWhite="1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Blad4227123">
    <pageSetUpPr fitToPage="1"/>
  </sheetPr>
  <dimension ref="A1:P62"/>
  <sheetViews>
    <sheetView showGridLines="0" showRowColHeaders="0" showZeros="0" topLeftCell="A9" zoomScale="80" workbookViewId="0">
      <pane ySplit="5" topLeftCell="A14" activePane="bottomLeft" state="frozenSplit"/>
      <selection activeCell="P9" sqref="P1:P65536"/>
      <selection pane="bottomLeft" activeCell="J14" sqref="J14"/>
    </sheetView>
  </sheetViews>
  <sheetFormatPr defaultColWidth="11.3828125" defaultRowHeight="12.45"/>
  <cols>
    <col min="1" max="1" width="2.84375" style="269" customWidth="1"/>
    <col min="2" max="2" width="8.84375" style="318" hidden="1" customWidth="1"/>
    <col min="3" max="3" width="4.53515625" style="320" hidden="1" customWidth="1"/>
    <col min="4" max="4" width="11.3828125" style="354" hidden="1" customWidth="1"/>
    <col min="5" max="5" width="8.3828125" style="354" hidden="1" customWidth="1"/>
    <col min="6" max="6" width="7.15234375" style="30" hidden="1" customWidth="1"/>
    <col min="7" max="7" width="1.53515625" style="30" hidden="1" customWidth="1"/>
    <col min="8" max="8" width="4.3828125" style="1" customWidth="1"/>
    <col min="9" max="9" width="7.53515625" style="1" customWidth="1"/>
    <col min="10" max="13" width="8.15234375" style="6" customWidth="1"/>
    <col min="14" max="14" width="11.07421875" style="8" customWidth="1"/>
    <col min="15" max="15" width="36.15234375" style="1" customWidth="1"/>
    <col min="16" max="16" width="11.15234375" style="1" customWidth="1"/>
    <col min="17" max="16384" width="11.3828125" style="1"/>
  </cols>
  <sheetData>
    <row r="1" spans="1:16" s="15" customFormat="1" ht="16" customHeight="1">
      <c r="A1" s="21" t="s">
        <v>30</v>
      </c>
      <c r="B1" s="315"/>
      <c r="C1" s="315"/>
      <c r="D1" s="272"/>
      <c r="E1" s="272"/>
      <c r="F1" s="272"/>
      <c r="G1" s="272"/>
      <c r="P1" s="27" t="s">
        <v>31</v>
      </c>
    </row>
    <row r="2" spans="1:16" s="262" customFormat="1" ht="14.25" customHeight="1">
      <c r="A2" s="145">
        <f>inst</f>
        <v>0</v>
      </c>
      <c r="B2" s="317"/>
      <c r="C2" s="317"/>
      <c r="D2" s="145"/>
      <c r="E2" s="151"/>
      <c r="F2" s="451"/>
      <c r="G2" s="145"/>
    </row>
    <row r="3" spans="1:16" s="16" customFormat="1" ht="15.75" customHeight="1">
      <c r="A3" s="17"/>
      <c r="B3" s="318"/>
      <c r="C3" s="318"/>
      <c r="D3" s="17"/>
      <c r="E3" s="151"/>
      <c r="F3" s="452"/>
      <c r="G3" s="17"/>
      <c r="L3" s="29"/>
    </row>
    <row r="4" spans="1:16" ht="15.75" customHeight="1">
      <c r="A4" s="17"/>
      <c r="C4" s="318"/>
      <c r="D4" s="176"/>
      <c r="E4" s="406"/>
      <c r="F4" s="319"/>
      <c r="G4" s="17"/>
      <c r="H4" s="30"/>
      <c r="I4" s="30"/>
      <c r="J4" s="30"/>
      <c r="K4" s="30"/>
      <c r="L4" s="30"/>
      <c r="M4" s="30"/>
      <c r="N4" s="30"/>
      <c r="O4" s="31" t="s">
        <v>34</v>
      </c>
      <c r="P4" s="32">
        <f>H14</f>
        <v>44135</v>
      </c>
    </row>
    <row r="5" spans="1:16" ht="15.75" customHeight="1">
      <c r="A5" s="17"/>
      <c r="C5" s="318"/>
      <c r="D5" s="176"/>
      <c r="E5" s="176"/>
      <c r="F5" s="17"/>
      <c r="G5" s="17"/>
      <c r="H5" s="30"/>
      <c r="I5" s="30"/>
      <c r="J5" s="30"/>
      <c r="K5" s="30"/>
      <c r="L5" s="17"/>
      <c r="M5" s="30"/>
      <c r="N5" s="30"/>
      <c r="O5" s="31" t="s">
        <v>33</v>
      </c>
      <c r="P5" s="33">
        <f>H14</f>
        <v>44135</v>
      </c>
    </row>
    <row r="6" spans="1:16" ht="15.75" customHeight="1">
      <c r="A6" s="17"/>
      <c r="B6" s="17"/>
      <c r="C6" s="318"/>
      <c r="D6" s="17"/>
      <c r="E6" s="17"/>
      <c r="F6" s="17"/>
      <c r="G6" s="17"/>
      <c r="H6" s="30"/>
      <c r="I6" s="30"/>
      <c r="J6" s="30"/>
      <c r="K6" s="30"/>
      <c r="L6" s="30"/>
      <c r="M6" s="30"/>
      <c r="N6" s="30"/>
      <c r="O6" s="30"/>
      <c r="P6" s="30"/>
    </row>
    <row r="7" spans="1:16" ht="12.75" customHeight="1" thickBot="1">
      <c r="H7" s="422" t="s">
        <v>73</v>
      </c>
      <c r="I7" s="423"/>
      <c r="J7" s="423"/>
      <c r="K7" s="423"/>
      <c r="L7" s="423"/>
      <c r="M7" s="423"/>
      <c r="N7" s="422" t="s">
        <v>74</v>
      </c>
      <c r="O7" s="422" t="s">
        <v>72</v>
      </c>
      <c r="P7" s="424"/>
    </row>
    <row r="8" spans="1:16" s="2" customFormat="1" ht="17.25" customHeight="1" thickBot="1">
      <c r="A8" s="269"/>
      <c r="B8" s="318"/>
      <c r="C8" s="321"/>
      <c r="D8" s="453" t="s">
        <v>120</v>
      </c>
      <c r="E8" s="392">
        <f ca="1">INT((LEN(fel_1)+LEN(fel_2)+LEN(fel_3))/60)+COUNTIF(B14:C44,"1")</f>
        <v>3</v>
      </c>
      <c r="F8" s="323"/>
      <c r="G8" s="323"/>
      <c r="H8" s="39" t="str">
        <f>IF(namn&lt;&gt;"","  "&amp;namn,"")</f>
        <v/>
      </c>
      <c r="I8" s="40"/>
      <c r="J8" s="41"/>
      <c r="K8" s="41"/>
      <c r="L8" s="41"/>
      <c r="M8" s="41"/>
      <c r="N8" s="180">
        <f>tjänst</f>
        <v>1</v>
      </c>
      <c r="O8" s="42" t="str">
        <f>IF(p_nr&lt;&gt;"","  "&amp;p_nr,"")</f>
        <v/>
      </c>
      <c r="P8" s="287"/>
    </row>
    <row r="9" spans="1:16" s="2" customFormat="1" ht="3" customHeight="1">
      <c r="A9" s="269"/>
      <c r="B9" s="454"/>
      <c r="C9" s="455"/>
      <c r="D9" s="436"/>
      <c r="E9" s="436"/>
      <c r="F9" s="436"/>
      <c r="G9" s="402"/>
      <c r="H9" s="415"/>
      <c r="I9" s="415"/>
      <c r="J9" s="415"/>
      <c r="K9" s="415"/>
      <c r="L9" s="415"/>
      <c r="M9" s="415"/>
      <c r="N9" s="416"/>
      <c r="O9" s="417"/>
      <c r="P9" s="418"/>
    </row>
    <row r="10" spans="1:16" s="14" customFormat="1" ht="12.75" customHeight="1">
      <c r="A10" s="324"/>
      <c r="B10" s="559" t="s">
        <v>135</v>
      </c>
      <c r="C10" s="560"/>
      <c r="D10" s="437" t="s">
        <v>119</v>
      </c>
      <c r="E10" s="437" t="s">
        <v>121</v>
      </c>
      <c r="F10" s="438" t="s">
        <v>116</v>
      </c>
      <c r="G10" s="390"/>
      <c r="H10" s="409" t="s">
        <v>88</v>
      </c>
      <c r="I10" s="409" t="s">
        <v>39</v>
      </c>
      <c r="J10" s="410" t="s">
        <v>14</v>
      </c>
      <c r="K10" s="410" t="s">
        <v>15</v>
      </c>
      <c r="L10" s="410" t="s">
        <v>15</v>
      </c>
      <c r="M10" s="410" t="s">
        <v>14</v>
      </c>
      <c r="N10" s="411" t="s">
        <v>145</v>
      </c>
      <c r="O10" s="409" t="s">
        <v>76</v>
      </c>
      <c r="P10" s="412" t="s">
        <v>77</v>
      </c>
    </row>
    <row r="11" spans="1:16" s="14" customFormat="1" ht="12.75" customHeight="1">
      <c r="A11" s="324"/>
      <c r="B11" s="439" t="s">
        <v>118</v>
      </c>
      <c r="C11" s="456" t="s">
        <v>101</v>
      </c>
      <c r="D11" s="437" t="s">
        <v>118</v>
      </c>
      <c r="E11" s="437" t="s">
        <v>122</v>
      </c>
      <c r="F11" s="439" t="s">
        <v>117</v>
      </c>
      <c r="G11" s="391"/>
      <c r="H11" s="409" t="s">
        <v>9</v>
      </c>
      <c r="I11" s="409" t="s">
        <v>10</v>
      </c>
      <c r="J11" s="413" t="s">
        <v>16</v>
      </c>
      <c r="K11" s="414" t="s">
        <v>16</v>
      </c>
      <c r="L11" s="414" t="s">
        <v>17</v>
      </c>
      <c r="M11" s="410" t="s">
        <v>18</v>
      </c>
      <c r="N11" s="419" t="str">
        <f ca="1">IF(INFO("system")="mac","tim.minut","tim:minut")</f>
        <v>tim:minut</v>
      </c>
      <c r="O11" s="420" t="s">
        <v>164</v>
      </c>
      <c r="P11" s="421" t="s">
        <v>161</v>
      </c>
    </row>
    <row r="12" spans="1:16" s="2" customFormat="1" ht="3" customHeight="1">
      <c r="A12" s="269"/>
      <c r="B12" s="439"/>
      <c r="C12" s="456"/>
      <c r="D12" s="439"/>
      <c r="E12" s="439"/>
      <c r="F12" s="439"/>
      <c r="G12" s="402"/>
      <c r="H12" s="409"/>
      <c r="I12" s="409"/>
      <c r="J12" s="409"/>
      <c r="K12" s="409"/>
      <c r="L12" s="409"/>
      <c r="M12" s="409"/>
      <c r="N12" s="425"/>
      <c r="O12" s="412"/>
      <c r="P12" s="426"/>
    </row>
    <row r="13" spans="1:16" s="172" customFormat="1" ht="18" customHeight="1" thickBot="1">
      <c r="A13" s="329"/>
      <c r="B13" s="449" t="s">
        <v>10</v>
      </c>
      <c r="C13" s="457" t="s">
        <v>102</v>
      </c>
      <c r="D13" s="448" t="s">
        <v>22</v>
      </c>
      <c r="E13" s="448" t="s">
        <v>123</v>
      </c>
      <c r="F13" s="449" t="s">
        <v>142</v>
      </c>
      <c r="G13" s="401"/>
      <c r="H13" s="167" t="str">
        <f>IF(LEN(J13)&gt;0,"  INFO:","")</f>
        <v xml:space="preserve">  INFO:</v>
      </c>
      <c r="I13" s="168"/>
      <c r="J13" s="544" t="str">
        <f>IF(LEN(fel_1)&gt;0,fel_1,IF(LEN(fel_2)&gt;0,fel_2,IF(LEN(fel_3)&gt;0,fel_3,IF(LEN(fel_4)&gt;0,fel_4,IF(SUMIF(B14:B44,"&gt;0"),semfel_1&amp;TEXT(VLOOKUP(1,B14:P44,7),"D MMM")&amp;semfel_2,IF(COUNTIF(C14:C44,"1"),ändr_fel,""))))))</f>
        <v>Du har glömt ange namn och/eller personnr på fliken "Grunddata"!</v>
      </c>
      <c r="K13" s="545"/>
      <c r="L13" s="545"/>
      <c r="M13" s="545"/>
      <c r="N13" s="545"/>
      <c r="O13" s="545"/>
      <c r="P13" s="171" t="str">
        <f ca="1">IF(E8&gt;1,"Tot. "&amp;E8&amp;" fel","")</f>
        <v>Tot. 3 fel</v>
      </c>
    </row>
    <row r="14" spans="1:16" ht="17.25" customHeight="1">
      <c r="A14" s="334"/>
      <c r="B14" s="458" t="str">
        <f t="shared" ref="B14:B44" ca="1" si="0">IF(AND(F14="ej sem",OR(LEFT(O14,3)="sem",LEFT(O14,4)="sjuk")),1,"")</f>
        <v/>
      </c>
      <c r="C14" s="459" t="str">
        <f t="shared" ref="C14:C44" ca="1" si="1">IF(NOT(ISERROR(E14)),"",IF(N14&lt;&gt;"",IF(ERROR.TYPE(E14)=3,1,),))</f>
        <v/>
      </c>
      <c r="D14" s="388">
        <f t="shared" ref="D14:D44" ca="1" si="2">IF(TODAY()&gt;=H14,IF(AND(LEFT(O14,3)="SEM",F14&lt;&gt;"ej sem"),1,IF(AND(LEFT(O14,4)="sjuk",F14&lt;&gt;"ej sem"),100,0)),0)</f>
        <v>0</v>
      </c>
      <c r="E14" s="381">
        <f t="shared" ref="E14:E44" ca="1" si="3">IF(AND(TODAY()&gt;=H14,F14&gt;0,OR(J14&gt;0,L14&gt;0,N14&lt;&gt;0)),((M14-L14+K14-J14)+IF(ISBLANK(N14),0,IF(LEFT(N14,1)="-",-TIMEVALUE(RIGHT(N14,LEN(N14)-1)),IF(LEFT(N14,1)="+",TIMEVALUE(RIGHT(N14,LEN(N14)-1)),TIMEVALUE(N14)))))*24,IF(OR(D14=1,D14=100),F14*tjänst,0))</f>
        <v>0</v>
      </c>
      <c r="F14" s="183">
        <f ca="1">IF(AND(H14&gt;=startdag,H14&lt;=slutdag),IF(TODAY()&gt;=H14,Normtid!AH5,0),0)</f>
        <v>0</v>
      </c>
      <c r="G14" s="403"/>
      <c r="H14" s="375">
        <f>Normtid!AG5</f>
        <v>44135</v>
      </c>
      <c r="I14" s="376" t="str">
        <f t="shared" ref="I14:I43" si="4">PROPER(TEXT(WEEKDAY(H14)+1,"DDD"))</f>
        <v>Fre</v>
      </c>
      <c r="J14" s="377"/>
      <c r="K14" s="377"/>
      <c r="L14" s="377"/>
      <c r="M14" s="378"/>
      <c r="N14" s="379"/>
      <c r="O14" s="380" t="str">
        <f>Normtid!$AI5</f>
        <v>Dag före Alla Helgons dag</v>
      </c>
      <c r="P14" s="381">
        <f ca="1">IF(E14&lt;&gt;0,E14,0)</f>
        <v>0</v>
      </c>
    </row>
    <row r="15" spans="1:16" ht="15.75" customHeight="1">
      <c r="B15" s="460" t="str">
        <f t="shared" ca="1" si="0"/>
        <v/>
      </c>
      <c r="C15" s="461" t="str">
        <f t="shared" ca="1" si="1"/>
        <v/>
      </c>
      <c r="D15" s="195">
        <f t="shared" ca="1" si="2"/>
        <v>0</v>
      </c>
      <c r="E15" s="196">
        <f t="shared" ca="1" si="3"/>
        <v>0</v>
      </c>
      <c r="F15" s="191">
        <f ca="1">IF(AND(H15&gt;=startdag,H15&lt;=slutdag),IF(TODAY()&gt;=H15,Normtid!AH6,0),0)</f>
        <v>0</v>
      </c>
      <c r="G15" s="403"/>
      <c r="H15" s="189">
        <f>Normtid!AG6</f>
        <v>44136</v>
      </c>
      <c r="I15" s="190" t="str">
        <f t="shared" si="4"/>
        <v>Lör</v>
      </c>
      <c r="J15" s="192"/>
      <c r="K15" s="192"/>
      <c r="L15" s="192"/>
      <c r="M15" s="202"/>
      <c r="N15" s="383"/>
      <c r="O15" s="194" t="str">
        <f>Normtid!$AI6</f>
        <v>Alla helgons dag</v>
      </c>
      <c r="P15" s="196">
        <f t="shared" ref="P15:P44" ca="1" si="5">IF(E15&lt;&gt;0,E15,0)</f>
        <v>0</v>
      </c>
    </row>
    <row r="16" spans="1:16" ht="15.75" customHeight="1">
      <c r="B16" s="462" t="str">
        <f t="shared" ca="1" si="0"/>
        <v/>
      </c>
      <c r="C16" s="463" t="str">
        <f t="shared" ca="1" si="1"/>
        <v/>
      </c>
      <c r="D16" s="388">
        <f t="shared" ca="1" si="2"/>
        <v>0</v>
      </c>
      <c r="E16" s="188">
        <f t="shared" ca="1" si="3"/>
        <v>0</v>
      </c>
      <c r="F16" s="183">
        <f ca="1">IF(AND(H16&gt;=startdag,H16&lt;=slutdag),IF(TODAY()&gt;=H16,Normtid!AH7,0),0)</f>
        <v>0</v>
      </c>
      <c r="G16" s="403"/>
      <c r="H16" s="181">
        <f>Normtid!AG7</f>
        <v>44137</v>
      </c>
      <c r="I16" s="182" t="str">
        <f t="shared" si="4"/>
        <v>Sön</v>
      </c>
      <c r="J16" s="184"/>
      <c r="K16" s="184"/>
      <c r="L16" s="184"/>
      <c r="M16" s="204"/>
      <c r="N16" s="379"/>
      <c r="O16" s="186" t="str">
        <f>Normtid!$AI7</f>
        <v/>
      </c>
      <c r="P16" s="188">
        <f t="shared" ca="1" si="5"/>
        <v>0</v>
      </c>
    </row>
    <row r="17" spans="2:16" ht="15.75" customHeight="1">
      <c r="B17" s="460" t="str">
        <f t="shared" ca="1" si="0"/>
        <v/>
      </c>
      <c r="C17" s="461" t="str">
        <f t="shared" ca="1" si="1"/>
        <v/>
      </c>
      <c r="D17" s="195">
        <f t="shared" ca="1" si="2"/>
        <v>0</v>
      </c>
      <c r="E17" s="196">
        <f t="shared" ca="1" si="3"/>
        <v>0</v>
      </c>
      <c r="F17" s="191">
        <f ca="1">IF(AND(H17&gt;=startdag,H17&lt;=slutdag),IF(TODAY()&gt;=H17,Normtid!AH8,0),0)</f>
        <v>0</v>
      </c>
      <c r="G17" s="403"/>
      <c r="H17" s="189">
        <f>Normtid!AG8</f>
        <v>44138</v>
      </c>
      <c r="I17" s="190" t="str">
        <f t="shared" si="4"/>
        <v>Mån</v>
      </c>
      <c r="J17" s="192"/>
      <c r="K17" s="192"/>
      <c r="L17" s="192"/>
      <c r="M17" s="202"/>
      <c r="N17" s="383"/>
      <c r="O17" s="194" t="str">
        <f>Normtid!$AI8</f>
        <v/>
      </c>
      <c r="P17" s="196">
        <f t="shared" ca="1" si="5"/>
        <v>0</v>
      </c>
    </row>
    <row r="18" spans="2:16" ht="15.75" customHeight="1">
      <c r="B18" s="462" t="str">
        <f t="shared" ca="1" si="0"/>
        <v/>
      </c>
      <c r="C18" s="463" t="str">
        <f t="shared" ca="1" si="1"/>
        <v/>
      </c>
      <c r="D18" s="388">
        <f t="shared" ca="1" si="2"/>
        <v>0</v>
      </c>
      <c r="E18" s="188">
        <f t="shared" ca="1" si="3"/>
        <v>0</v>
      </c>
      <c r="F18" s="183">
        <f ca="1">IF(AND(H18&gt;=startdag,H18&lt;=slutdag),IF(TODAY()&gt;=H18,Normtid!AH9,0),0)</f>
        <v>0</v>
      </c>
      <c r="G18" s="403"/>
      <c r="H18" s="181">
        <f>Normtid!AG9</f>
        <v>44139</v>
      </c>
      <c r="I18" s="182" t="str">
        <f t="shared" si="4"/>
        <v>Tis</v>
      </c>
      <c r="J18" s="184"/>
      <c r="K18" s="184"/>
      <c r="L18" s="184"/>
      <c r="M18" s="204"/>
      <c r="N18" s="379"/>
      <c r="O18" s="186" t="str">
        <f>Normtid!$AI9</f>
        <v/>
      </c>
      <c r="P18" s="188">
        <f t="shared" ca="1" si="5"/>
        <v>0</v>
      </c>
    </row>
    <row r="19" spans="2:16" ht="15.75" customHeight="1">
      <c r="B19" s="460" t="str">
        <f t="shared" ca="1" si="0"/>
        <v/>
      </c>
      <c r="C19" s="461" t="str">
        <f t="shared" ca="1" si="1"/>
        <v/>
      </c>
      <c r="D19" s="195">
        <f t="shared" ca="1" si="2"/>
        <v>0</v>
      </c>
      <c r="E19" s="196">
        <f t="shared" ca="1" si="3"/>
        <v>0</v>
      </c>
      <c r="F19" s="191">
        <f ca="1">IF(AND(H19&gt;=startdag,H19&lt;=slutdag),IF(TODAY()&gt;=H19,Normtid!AH10,0),0)</f>
        <v>0</v>
      </c>
      <c r="G19" s="403"/>
      <c r="H19" s="189">
        <f>Normtid!AG10</f>
        <v>44140</v>
      </c>
      <c r="I19" s="190" t="str">
        <f t="shared" si="4"/>
        <v>Ons</v>
      </c>
      <c r="J19" s="192"/>
      <c r="K19" s="192"/>
      <c r="L19" s="192"/>
      <c r="M19" s="202"/>
      <c r="N19" s="383"/>
      <c r="O19" s="194" t="str">
        <f>Normtid!$AI10</f>
        <v/>
      </c>
      <c r="P19" s="196">
        <f t="shared" ca="1" si="5"/>
        <v>0</v>
      </c>
    </row>
    <row r="20" spans="2:16" ht="15.75" customHeight="1">
      <c r="B20" s="462" t="str">
        <f t="shared" ca="1" si="0"/>
        <v/>
      </c>
      <c r="C20" s="463" t="str">
        <f t="shared" ca="1" si="1"/>
        <v/>
      </c>
      <c r="D20" s="388">
        <f t="shared" ca="1" si="2"/>
        <v>0</v>
      </c>
      <c r="E20" s="188">
        <f t="shared" ca="1" si="3"/>
        <v>0</v>
      </c>
      <c r="F20" s="183">
        <f ca="1">IF(AND(H20&gt;=startdag,H20&lt;=slutdag),IF(TODAY()&gt;=H20,Normtid!AH11,0),0)</f>
        <v>0</v>
      </c>
      <c r="G20" s="403"/>
      <c r="H20" s="181">
        <f>Normtid!AG11</f>
        <v>44141</v>
      </c>
      <c r="I20" s="182" t="str">
        <f t="shared" si="4"/>
        <v>Tor</v>
      </c>
      <c r="J20" s="184"/>
      <c r="K20" s="184"/>
      <c r="L20" s="184"/>
      <c r="M20" s="204"/>
      <c r="N20" s="379"/>
      <c r="O20" s="186" t="str">
        <f>Normtid!$AI11</f>
        <v/>
      </c>
      <c r="P20" s="188">
        <f t="shared" ca="1" si="5"/>
        <v>0</v>
      </c>
    </row>
    <row r="21" spans="2:16" ht="15.75" customHeight="1">
      <c r="B21" s="460" t="str">
        <f t="shared" ca="1" si="0"/>
        <v/>
      </c>
      <c r="C21" s="461" t="str">
        <f t="shared" ca="1" si="1"/>
        <v/>
      </c>
      <c r="D21" s="195">
        <f t="shared" ca="1" si="2"/>
        <v>0</v>
      </c>
      <c r="E21" s="196">
        <f t="shared" ca="1" si="3"/>
        <v>0</v>
      </c>
      <c r="F21" s="191">
        <f ca="1">IF(AND(H21&gt;=startdag,H21&lt;=slutdag),IF(TODAY()&gt;=H21,Normtid!AH12,0),0)</f>
        <v>0</v>
      </c>
      <c r="G21" s="403"/>
      <c r="H21" s="189">
        <f>Normtid!AG12</f>
        <v>44142</v>
      </c>
      <c r="I21" s="190" t="str">
        <f t="shared" si="4"/>
        <v>Fre</v>
      </c>
      <c r="J21" s="192"/>
      <c r="K21" s="192"/>
      <c r="L21" s="192"/>
      <c r="M21" s="202"/>
      <c r="N21" s="383"/>
      <c r="O21" s="194" t="str">
        <f>Normtid!$AI12</f>
        <v/>
      </c>
      <c r="P21" s="196">
        <f t="shared" ca="1" si="5"/>
        <v>0</v>
      </c>
    </row>
    <row r="22" spans="2:16" ht="15.75" customHeight="1">
      <c r="B22" s="462" t="str">
        <f t="shared" ca="1" si="0"/>
        <v/>
      </c>
      <c r="C22" s="463" t="str">
        <f t="shared" ca="1" si="1"/>
        <v/>
      </c>
      <c r="D22" s="388">
        <f t="shared" ca="1" si="2"/>
        <v>0</v>
      </c>
      <c r="E22" s="188">
        <f t="shared" ca="1" si="3"/>
        <v>0</v>
      </c>
      <c r="F22" s="183">
        <f ca="1">IF(AND(H22&gt;=startdag,H22&lt;=slutdag),IF(TODAY()&gt;=H22,Normtid!AH13,0),0)</f>
        <v>0</v>
      </c>
      <c r="G22" s="403"/>
      <c r="H22" s="181">
        <f>Normtid!AG13</f>
        <v>44143</v>
      </c>
      <c r="I22" s="182" t="str">
        <f t="shared" si="4"/>
        <v>Lör</v>
      </c>
      <c r="J22" s="184"/>
      <c r="K22" s="184"/>
      <c r="L22" s="184"/>
      <c r="M22" s="204"/>
      <c r="N22" s="379"/>
      <c r="O22" s="186" t="str">
        <f>Normtid!$AI13</f>
        <v/>
      </c>
      <c r="P22" s="188">
        <f t="shared" ca="1" si="5"/>
        <v>0</v>
      </c>
    </row>
    <row r="23" spans="2:16" ht="15.75" customHeight="1">
      <c r="B23" s="460" t="str">
        <f t="shared" ca="1" si="0"/>
        <v/>
      </c>
      <c r="C23" s="461" t="str">
        <f t="shared" ca="1" si="1"/>
        <v/>
      </c>
      <c r="D23" s="195">
        <f t="shared" ca="1" si="2"/>
        <v>0</v>
      </c>
      <c r="E23" s="196">
        <f t="shared" ca="1" si="3"/>
        <v>0</v>
      </c>
      <c r="F23" s="191">
        <f ca="1">IF(AND(H23&gt;=startdag,H23&lt;=slutdag),IF(TODAY()&gt;=H23,Normtid!AH14,0),0)</f>
        <v>0</v>
      </c>
      <c r="G23" s="403"/>
      <c r="H23" s="189">
        <f>Normtid!AG14</f>
        <v>44144</v>
      </c>
      <c r="I23" s="190" t="str">
        <f t="shared" si="4"/>
        <v>Sön</v>
      </c>
      <c r="J23" s="192"/>
      <c r="K23" s="192"/>
      <c r="L23" s="192"/>
      <c r="M23" s="202"/>
      <c r="N23" s="383"/>
      <c r="O23" s="194" t="str">
        <f>Normtid!$AI14</f>
        <v/>
      </c>
      <c r="P23" s="196">
        <f t="shared" ca="1" si="5"/>
        <v>0</v>
      </c>
    </row>
    <row r="24" spans="2:16" ht="15.75" customHeight="1">
      <c r="B24" s="462" t="str">
        <f t="shared" ca="1" si="0"/>
        <v/>
      </c>
      <c r="C24" s="463" t="str">
        <f t="shared" ca="1" si="1"/>
        <v/>
      </c>
      <c r="D24" s="388">
        <f t="shared" ca="1" si="2"/>
        <v>0</v>
      </c>
      <c r="E24" s="188">
        <f t="shared" ca="1" si="3"/>
        <v>0</v>
      </c>
      <c r="F24" s="183">
        <f ca="1">IF(AND(H24&gt;=startdag,H24&lt;=slutdag),IF(TODAY()&gt;=H24,Normtid!AH15,0),0)</f>
        <v>0</v>
      </c>
      <c r="G24" s="403"/>
      <c r="H24" s="181">
        <f>Normtid!AG15</f>
        <v>44145</v>
      </c>
      <c r="I24" s="182" t="str">
        <f t="shared" si="4"/>
        <v>Mån</v>
      </c>
      <c r="J24" s="184"/>
      <c r="K24" s="184"/>
      <c r="L24" s="184"/>
      <c r="M24" s="204"/>
      <c r="N24" s="379"/>
      <c r="O24" s="186" t="str">
        <f>Normtid!$AI15</f>
        <v/>
      </c>
      <c r="P24" s="188">
        <f t="shared" ca="1" si="5"/>
        <v>0</v>
      </c>
    </row>
    <row r="25" spans="2:16" ht="15.75" customHeight="1">
      <c r="B25" s="460" t="str">
        <f t="shared" ca="1" si="0"/>
        <v/>
      </c>
      <c r="C25" s="461" t="str">
        <f t="shared" ca="1" si="1"/>
        <v/>
      </c>
      <c r="D25" s="195">
        <f t="shared" ca="1" si="2"/>
        <v>0</v>
      </c>
      <c r="E25" s="196">
        <f t="shared" ca="1" si="3"/>
        <v>0</v>
      </c>
      <c r="F25" s="191">
        <f ca="1">IF(AND(H25&gt;=startdag,H25&lt;=slutdag),IF(TODAY()&gt;=H25,Normtid!AH16,0),0)</f>
        <v>0</v>
      </c>
      <c r="G25" s="403"/>
      <c r="H25" s="189">
        <f>Normtid!AG16</f>
        <v>44146</v>
      </c>
      <c r="I25" s="190" t="str">
        <f t="shared" si="4"/>
        <v>Tis</v>
      </c>
      <c r="J25" s="192"/>
      <c r="K25" s="192"/>
      <c r="L25" s="192"/>
      <c r="M25" s="202"/>
      <c r="N25" s="383"/>
      <c r="O25" s="194" t="str">
        <f>Normtid!$AI16</f>
        <v/>
      </c>
      <c r="P25" s="196">
        <f t="shared" ca="1" si="5"/>
        <v>0</v>
      </c>
    </row>
    <row r="26" spans="2:16" ht="15.75" customHeight="1">
      <c r="B26" s="462" t="str">
        <f t="shared" ca="1" si="0"/>
        <v/>
      </c>
      <c r="C26" s="463" t="str">
        <f t="shared" ca="1" si="1"/>
        <v/>
      </c>
      <c r="D26" s="388">
        <f t="shared" ca="1" si="2"/>
        <v>0</v>
      </c>
      <c r="E26" s="188">
        <f t="shared" ca="1" si="3"/>
        <v>0</v>
      </c>
      <c r="F26" s="183">
        <f ca="1">IF(AND(H26&gt;=startdag,H26&lt;=slutdag),IF(TODAY()&gt;=H26,Normtid!AH17,0),0)</f>
        <v>0</v>
      </c>
      <c r="G26" s="403"/>
      <c r="H26" s="181">
        <f>Normtid!AG17</f>
        <v>44147</v>
      </c>
      <c r="I26" s="182" t="str">
        <f t="shared" si="4"/>
        <v>Ons</v>
      </c>
      <c r="J26" s="184"/>
      <c r="K26" s="184"/>
      <c r="L26" s="184"/>
      <c r="M26" s="204"/>
      <c r="N26" s="379"/>
      <c r="O26" s="186" t="str">
        <f>Normtid!$AI17</f>
        <v/>
      </c>
      <c r="P26" s="188">
        <f t="shared" ca="1" si="5"/>
        <v>0</v>
      </c>
    </row>
    <row r="27" spans="2:16" ht="15.75" customHeight="1">
      <c r="B27" s="460" t="str">
        <f t="shared" ca="1" si="0"/>
        <v/>
      </c>
      <c r="C27" s="461" t="str">
        <f t="shared" ca="1" si="1"/>
        <v/>
      </c>
      <c r="D27" s="195">
        <f t="shared" ca="1" si="2"/>
        <v>0</v>
      </c>
      <c r="E27" s="196">
        <f t="shared" ca="1" si="3"/>
        <v>0</v>
      </c>
      <c r="F27" s="191">
        <f ca="1">IF(AND(H27&gt;=startdag,H27&lt;=slutdag),IF(TODAY()&gt;=H27,Normtid!AH18,0),0)</f>
        <v>0</v>
      </c>
      <c r="G27" s="403"/>
      <c r="H27" s="189">
        <f>Normtid!AG18</f>
        <v>44148</v>
      </c>
      <c r="I27" s="190" t="str">
        <f t="shared" si="4"/>
        <v>Tor</v>
      </c>
      <c r="J27" s="192"/>
      <c r="K27" s="192"/>
      <c r="L27" s="192"/>
      <c r="M27" s="202"/>
      <c r="N27" s="383"/>
      <c r="O27" s="194" t="str">
        <f>Normtid!$AI18</f>
        <v/>
      </c>
      <c r="P27" s="196">
        <f t="shared" ca="1" si="5"/>
        <v>0</v>
      </c>
    </row>
    <row r="28" spans="2:16" ht="15.75" customHeight="1">
      <c r="B28" s="462" t="str">
        <f t="shared" ca="1" si="0"/>
        <v/>
      </c>
      <c r="C28" s="463" t="str">
        <f t="shared" ca="1" si="1"/>
        <v/>
      </c>
      <c r="D28" s="388">
        <f t="shared" ca="1" si="2"/>
        <v>0</v>
      </c>
      <c r="E28" s="188">
        <f t="shared" ca="1" si="3"/>
        <v>0</v>
      </c>
      <c r="F28" s="183">
        <f ca="1">IF(AND(H28&gt;=startdag,H28&lt;=slutdag),IF(TODAY()&gt;=H28,Normtid!AH19,0),0)</f>
        <v>0</v>
      </c>
      <c r="G28" s="403"/>
      <c r="H28" s="181">
        <f>Normtid!AG19</f>
        <v>44149</v>
      </c>
      <c r="I28" s="182" t="str">
        <f t="shared" si="4"/>
        <v>Fre</v>
      </c>
      <c r="J28" s="184"/>
      <c r="K28" s="184"/>
      <c r="L28" s="184"/>
      <c r="M28" s="204"/>
      <c r="N28" s="379"/>
      <c r="O28" s="186" t="str">
        <f>Normtid!$AI19</f>
        <v/>
      </c>
      <c r="P28" s="188">
        <f t="shared" ca="1" si="5"/>
        <v>0</v>
      </c>
    </row>
    <row r="29" spans="2:16" ht="15.75" customHeight="1">
      <c r="B29" s="460" t="str">
        <f t="shared" ca="1" si="0"/>
        <v/>
      </c>
      <c r="C29" s="461" t="str">
        <f t="shared" ca="1" si="1"/>
        <v/>
      </c>
      <c r="D29" s="195">
        <f t="shared" ca="1" si="2"/>
        <v>0</v>
      </c>
      <c r="E29" s="196">
        <f t="shared" ca="1" si="3"/>
        <v>0</v>
      </c>
      <c r="F29" s="191">
        <f ca="1">IF(AND(H29&gt;=startdag,H29&lt;=slutdag),IF(TODAY()&gt;=H29,Normtid!AH20,0),0)</f>
        <v>0</v>
      </c>
      <c r="G29" s="403"/>
      <c r="H29" s="189">
        <f>Normtid!AG20</f>
        <v>44150</v>
      </c>
      <c r="I29" s="190" t="str">
        <f t="shared" si="4"/>
        <v>Lör</v>
      </c>
      <c r="J29" s="192"/>
      <c r="K29" s="192"/>
      <c r="L29" s="192"/>
      <c r="M29" s="202"/>
      <c r="N29" s="383"/>
      <c r="O29" s="194" t="str">
        <f>Normtid!$AI20</f>
        <v/>
      </c>
      <c r="P29" s="196">
        <f t="shared" ca="1" si="5"/>
        <v>0</v>
      </c>
    </row>
    <row r="30" spans="2:16" ht="15.75" customHeight="1">
      <c r="B30" s="462" t="str">
        <f t="shared" ca="1" si="0"/>
        <v/>
      </c>
      <c r="C30" s="463" t="str">
        <f t="shared" ca="1" si="1"/>
        <v/>
      </c>
      <c r="D30" s="388">
        <f t="shared" ca="1" si="2"/>
        <v>0</v>
      </c>
      <c r="E30" s="188">
        <f t="shared" ca="1" si="3"/>
        <v>0</v>
      </c>
      <c r="F30" s="183">
        <f ca="1">IF(AND(H30&gt;=startdag,H30&lt;=slutdag),IF(TODAY()&gt;=H30,Normtid!AH21,0),0)</f>
        <v>0</v>
      </c>
      <c r="G30" s="403"/>
      <c r="H30" s="181">
        <f>Normtid!AG21</f>
        <v>44151</v>
      </c>
      <c r="I30" s="182" t="str">
        <f t="shared" si="4"/>
        <v>Sön</v>
      </c>
      <c r="J30" s="184"/>
      <c r="K30" s="184"/>
      <c r="L30" s="184"/>
      <c r="M30" s="204"/>
      <c r="N30" s="379"/>
      <c r="O30" s="186" t="str">
        <f>Normtid!$AI21</f>
        <v/>
      </c>
      <c r="P30" s="188">
        <f t="shared" ca="1" si="5"/>
        <v>0</v>
      </c>
    </row>
    <row r="31" spans="2:16" ht="15.75" customHeight="1">
      <c r="B31" s="460" t="str">
        <f t="shared" ca="1" si="0"/>
        <v/>
      </c>
      <c r="C31" s="461" t="str">
        <f t="shared" ca="1" si="1"/>
        <v/>
      </c>
      <c r="D31" s="195">
        <f t="shared" ca="1" si="2"/>
        <v>0</v>
      </c>
      <c r="E31" s="196">
        <f t="shared" ca="1" si="3"/>
        <v>0</v>
      </c>
      <c r="F31" s="191">
        <f ca="1">IF(AND(H31&gt;=startdag,H31&lt;=slutdag),IF(TODAY()&gt;=H31,Normtid!AH22,0),0)</f>
        <v>0</v>
      </c>
      <c r="G31" s="403"/>
      <c r="H31" s="189">
        <f>Normtid!AG22</f>
        <v>44152</v>
      </c>
      <c r="I31" s="190" t="str">
        <f t="shared" si="4"/>
        <v>Mån</v>
      </c>
      <c r="J31" s="192"/>
      <c r="K31" s="192"/>
      <c r="L31" s="192"/>
      <c r="M31" s="202"/>
      <c r="N31" s="383"/>
      <c r="O31" s="194" t="str">
        <f>Normtid!$AI22</f>
        <v/>
      </c>
      <c r="P31" s="196">
        <f t="shared" ca="1" si="5"/>
        <v>0</v>
      </c>
    </row>
    <row r="32" spans="2:16" ht="15.75" customHeight="1">
      <c r="B32" s="462" t="str">
        <f t="shared" ca="1" si="0"/>
        <v/>
      </c>
      <c r="C32" s="463" t="str">
        <f t="shared" ca="1" si="1"/>
        <v/>
      </c>
      <c r="D32" s="388">
        <f t="shared" ca="1" si="2"/>
        <v>0</v>
      </c>
      <c r="E32" s="188">
        <f t="shared" ca="1" si="3"/>
        <v>0</v>
      </c>
      <c r="F32" s="183">
        <f ca="1">IF(AND(H32&gt;=startdag,H32&lt;=slutdag),IF(TODAY()&gt;=H32,Normtid!AH23,0),0)</f>
        <v>0</v>
      </c>
      <c r="G32" s="403"/>
      <c r="H32" s="181">
        <f>Normtid!AG23</f>
        <v>44153</v>
      </c>
      <c r="I32" s="182" t="str">
        <f t="shared" si="4"/>
        <v>Tis</v>
      </c>
      <c r="J32" s="184"/>
      <c r="K32" s="184"/>
      <c r="L32" s="184"/>
      <c r="M32" s="204"/>
      <c r="N32" s="379"/>
      <c r="O32" s="186" t="str">
        <f>Normtid!$AI23</f>
        <v/>
      </c>
      <c r="P32" s="188">
        <f t="shared" ca="1" si="5"/>
        <v>0</v>
      </c>
    </row>
    <row r="33" spans="1:16" ht="15.75" customHeight="1">
      <c r="B33" s="460" t="str">
        <f t="shared" ca="1" si="0"/>
        <v/>
      </c>
      <c r="C33" s="461" t="str">
        <f t="shared" ca="1" si="1"/>
        <v/>
      </c>
      <c r="D33" s="195">
        <f t="shared" ca="1" si="2"/>
        <v>0</v>
      </c>
      <c r="E33" s="196">
        <f t="shared" ca="1" si="3"/>
        <v>0</v>
      </c>
      <c r="F33" s="191">
        <f ca="1">IF(AND(H33&gt;=startdag,H33&lt;=slutdag),IF(TODAY()&gt;=H33,Normtid!AH24,0),0)</f>
        <v>0</v>
      </c>
      <c r="G33" s="403"/>
      <c r="H33" s="189">
        <f>Normtid!AG24</f>
        <v>44154</v>
      </c>
      <c r="I33" s="190" t="str">
        <f t="shared" si="4"/>
        <v>Ons</v>
      </c>
      <c r="J33" s="192"/>
      <c r="K33" s="192"/>
      <c r="L33" s="192"/>
      <c r="M33" s="202"/>
      <c r="N33" s="383"/>
      <c r="O33" s="194" t="str">
        <f>Normtid!$AI24</f>
        <v/>
      </c>
      <c r="P33" s="196">
        <f t="shared" ca="1" si="5"/>
        <v>0</v>
      </c>
    </row>
    <row r="34" spans="1:16" ht="15.75" customHeight="1">
      <c r="B34" s="462" t="str">
        <f t="shared" ca="1" si="0"/>
        <v/>
      </c>
      <c r="C34" s="463" t="str">
        <f t="shared" ca="1" si="1"/>
        <v/>
      </c>
      <c r="D34" s="388">
        <f t="shared" ca="1" si="2"/>
        <v>0</v>
      </c>
      <c r="E34" s="188">
        <f t="shared" ca="1" si="3"/>
        <v>0</v>
      </c>
      <c r="F34" s="183">
        <f ca="1">IF(AND(H34&gt;=startdag,H34&lt;=slutdag),IF(TODAY()&gt;=H34,Normtid!AH25,0),0)</f>
        <v>0</v>
      </c>
      <c r="G34" s="403"/>
      <c r="H34" s="181">
        <f>Normtid!AG25</f>
        <v>44155</v>
      </c>
      <c r="I34" s="182" t="str">
        <f t="shared" si="4"/>
        <v>Tor</v>
      </c>
      <c r="J34" s="184"/>
      <c r="K34" s="184"/>
      <c r="L34" s="184"/>
      <c r="M34" s="204"/>
      <c r="N34" s="379"/>
      <c r="O34" s="186" t="str">
        <f>Normtid!$AI25</f>
        <v/>
      </c>
      <c r="P34" s="188">
        <f t="shared" ca="1" si="5"/>
        <v>0</v>
      </c>
    </row>
    <row r="35" spans="1:16" ht="15.75" customHeight="1">
      <c r="B35" s="460" t="str">
        <f t="shared" ca="1" si="0"/>
        <v/>
      </c>
      <c r="C35" s="461" t="str">
        <f t="shared" ca="1" si="1"/>
        <v/>
      </c>
      <c r="D35" s="195">
        <f t="shared" ca="1" si="2"/>
        <v>0</v>
      </c>
      <c r="E35" s="196">
        <f t="shared" ca="1" si="3"/>
        <v>0</v>
      </c>
      <c r="F35" s="191">
        <f ca="1">IF(AND(H35&gt;=startdag,H35&lt;=slutdag),IF(TODAY()&gt;=H35,Normtid!AH26,0),0)</f>
        <v>0</v>
      </c>
      <c r="G35" s="403"/>
      <c r="H35" s="189">
        <f>Normtid!AG26</f>
        <v>44156</v>
      </c>
      <c r="I35" s="190" t="str">
        <f t="shared" si="4"/>
        <v>Fre</v>
      </c>
      <c r="J35" s="192"/>
      <c r="K35" s="192"/>
      <c r="L35" s="192"/>
      <c r="M35" s="202"/>
      <c r="N35" s="383"/>
      <c r="O35" s="194" t="str">
        <f>Normtid!$AI26</f>
        <v/>
      </c>
      <c r="P35" s="196">
        <f t="shared" ca="1" si="5"/>
        <v>0</v>
      </c>
    </row>
    <row r="36" spans="1:16" ht="15.75" customHeight="1">
      <c r="B36" s="462" t="str">
        <f t="shared" ca="1" si="0"/>
        <v/>
      </c>
      <c r="C36" s="463" t="str">
        <f t="shared" ca="1" si="1"/>
        <v/>
      </c>
      <c r="D36" s="388">
        <f t="shared" ca="1" si="2"/>
        <v>0</v>
      </c>
      <c r="E36" s="188">
        <f t="shared" ca="1" si="3"/>
        <v>0</v>
      </c>
      <c r="F36" s="183">
        <f ca="1">IF(AND(H36&gt;=startdag,H36&lt;=slutdag),IF(TODAY()&gt;=H36,Normtid!AH27,0),0)</f>
        <v>0</v>
      </c>
      <c r="G36" s="403"/>
      <c r="H36" s="181">
        <f>Normtid!AG27</f>
        <v>44157</v>
      </c>
      <c r="I36" s="182" t="str">
        <f t="shared" si="4"/>
        <v>Lör</v>
      </c>
      <c r="J36" s="184"/>
      <c r="K36" s="184"/>
      <c r="L36" s="184"/>
      <c r="M36" s="204"/>
      <c r="N36" s="379"/>
      <c r="O36" s="186" t="str">
        <f>Normtid!$AI27</f>
        <v/>
      </c>
      <c r="P36" s="188">
        <f t="shared" ca="1" si="5"/>
        <v>0</v>
      </c>
    </row>
    <row r="37" spans="1:16" ht="15.75" customHeight="1">
      <c r="B37" s="460" t="str">
        <f t="shared" ca="1" si="0"/>
        <v/>
      </c>
      <c r="C37" s="461" t="str">
        <f t="shared" ca="1" si="1"/>
        <v/>
      </c>
      <c r="D37" s="195">
        <f t="shared" ca="1" si="2"/>
        <v>0</v>
      </c>
      <c r="E37" s="196">
        <f t="shared" ca="1" si="3"/>
        <v>0</v>
      </c>
      <c r="F37" s="191">
        <f ca="1">IF(AND(H37&gt;=startdag,H37&lt;=slutdag),IF(TODAY()&gt;=H37,Normtid!AH28,0),0)</f>
        <v>0</v>
      </c>
      <c r="G37" s="403"/>
      <c r="H37" s="189">
        <f>Normtid!AG28</f>
        <v>44158</v>
      </c>
      <c r="I37" s="190" t="str">
        <f t="shared" si="4"/>
        <v>Sön</v>
      </c>
      <c r="J37" s="192"/>
      <c r="K37" s="192"/>
      <c r="L37" s="192"/>
      <c r="M37" s="202"/>
      <c r="N37" s="383"/>
      <c r="O37" s="194" t="str">
        <f>Normtid!$AI28</f>
        <v/>
      </c>
      <c r="P37" s="196">
        <f t="shared" ca="1" si="5"/>
        <v>0</v>
      </c>
    </row>
    <row r="38" spans="1:16" ht="15.75" customHeight="1">
      <c r="B38" s="462" t="str">
        <f t="shared" ca="1" si="0"/>
        <v/>
      </c>
      <c r="C38" s="463" t="str">
        <f t="shared" ca="1" si="1"/>
        <v/>
      </c>
      <c r="D38" s="388">
        <f t="shared" ca="1" si="2"/>
        <v>0</v>
      </c>
      <c r="E38" s="188">
        <f t="shared" ca="1" si="3"/>
        <v>0</v>
      </c>
      <c r="F38" s="183">
        <f ca="1">IF(AND(H38&gt;=startdag,H38&lt;=slutdag),IF(TODAY()&gt;=H38,Normtid!AH29,0),0)</f>
        <v>0</v>
      </c>
      <c r="G38" s="403"/>
      <c r="H38" s="181">
        <f>Normtid!AG29</f>
        <v>44159</v>
      </c>
      <c r="I38" s="182" t="str">
        <f t="shared" si="4"/>
        <v>Mån</v>
      </c>
      <c r="J38" s="184"/>
      <c r="K38" s="184"/>
      <c r="L38" s="184"/>
      <c r="M38" s="204"/>
      <c r="N38" s="379"/>
      <c r="O38" s="186" t="str">
        <f>Normtid!$AI29</f>
        <v/>
      </c>
      <c r="P38" s="188">
        <f t="shared" ca="1" si="5"/>
        <v>0</v>
      </c>
    </row>
    <row r="39" spans="1:16" ht="15.75" customHeight="1">
      <c r="B39" s="460" t="str">
        <f t="shared" ca="1" si="0"/>
        <v/>
      </c>
      <c r="C39" s="461" t="str">
        <f t="shared" ca="1" si="1"/>
        <v/>
      </c>
      <c r="D39" s="195">
        <f t="shared" ca="1" si="2"/>
        <v>0</v>
      </c>
      <c r="E39" s="196">
        <f t="shared" ca="1" si="3"/>
        <v>0</v>
      </c>
      <c r="F39" s="191">
        <f ca="1">IF(AND(H39&gt;=startdag,H39&lt;=slutdag),IF(TODAY()&gt;=H39,Normtid!AH30,0),0)</f>
        <v>0</v>
      </c>
      <c r="G39" s="403"/>
      <c r="H39" s="189">
        <f>Normtid!AG30</f>
        <v>44160</v>
      </c>
      <c r="I39" s="190" t="str">
        <f t="shared" si="4"/>
        <v>Tis</v>
      </c>
      <c r="J39" s="192"/>
      <c r="K39" s="192"/>
      <c r="L39" s="192"/>
      <c r="M39" s="202"/>
      <c r="N39" s="383"/>
      <c r="O39" s="194" t="str">
        <f>Normtid!$AI30</f>
        <v/>
      </c>
      <c r="P39" s="196">
        <f t="shared" ca="1" si="5"/>
        <v>0</v>
      </c>
    </row>
    <row r="40" spans="1:16" ht="15.75" customHeight="1">
      <c r="B40" s="462" t="str">
        <f t="shared" ca="1" si="0"/>
        <v/>
      </c>
      <c r="C40" s="463" t="str">
        <f t="shared" ca="1" si="1"/>
        <v/>
      </c>
      <c r="D40" s="388">
        <f t="shared" ca="1" si="2"/>
        <v>0</v>
      </c>
      <c r="E40" s="188">
        <f t="shared" ca="1" si="3"/>
        <v>0</v>
      </c>
      <c r="F40" s="183">
        <f ca="1">IF(AND(H40&gt;=startdag,H40&lt;=slutdag),IF(TODAY()&gt;=H40,Normtid!AH31,0),0)</f>
        <v>0</v>
      </c>
      <c r="G40" s="403"/>
      <c r="H40" s="181">
        <f>Normtid!AG31</f>
        <v>44161</v>
      </c>
      <c r="I40" s="182" t="str">
        <f t="shared" si="4"/>
        <v>Ons</v>
      </c>
      <c r="J40" s="184"/>
      <c r="K40" s="184"/>
      <c r="L40" s="184"/>
      <c r="M40" s="204"/>
      <c r="N40" s="379"/>
      <c r="O40" s="186" t="str">
        <f>Normtid!$AI31</f>
        <v/>
      </c>
      <c r="P40" s="188">
        <f t="shared" ca="1" si="5"/>
        <v>0</v>
      </c>
    </row>
    <row r="41" spans="1:16" ht="15.75" customHeight="1">
      <c r="B41" s="460" t="str">
        <f t="shared" ca="1" si="0"/>
        <v/>
      </c>
      <c r="C41" s="461" t="str">
        <f t="shared" ca="1" si="1"/>
        <v/>
      </c>
      <c r="D41" s="195">
        <f t="shared" ca="1" si="2"/>
        <v>0</v>
      </c>
      <c r="E41" s="196">
        <f t="shared" ca="1" si="3"/>
        <v>0</v>
      </c>
      <c r="F41" s="191">
        <f ca="1">IF(AND(H41&gt;=startdag,H41&lt;=slutdag),IF(TODAY()&gt;=H41,Normtid!AH32,0),0)</f>
        <v>0</v>
      </c>
      <c r="G41" s="403"/>
      <c r="H41" s="189">
        <f>Normtid!AG32</f>
        <v>44162</v>
      </c>
      <c r="I41" s="190" t="str">
        <f t="shared" si="4"/>
        <v>Tor</v>
      </c>
      <c r="J41" s="192"/>
      <c r="K41" s="192"/>
      <c r="L41" s="192"/>
      <c r="M41" s="202"/>
      <c r="N41" s="383"/>
      <c r="O41" s="194" t="str">
        <f>Normtid!$AI32</f>
        <v/>
      </c>
      <c r="P41" s="196">
        <f t="shared" ca="1" si="5"/>
        <v>0</v>
      </c>
    </row>
    <row r="42" spans="1:16" ht="15.75" customHeight="1">
      <c r="B42" s="462" t="str">
        <f t="shared" ca="1" si="0"/>
        <v/>
      </c>
      <c r="C42" s="463" t="str">
        <f t="shared" ca="1" si="1"/>
        <v/>
      </c>
      <c r="D42" s="388">
        <f t="shared" ca="1" si="2"/>
        <v>0</v>
      </c>
      <c r="E42" s="188">
        <f t="shared" ca="1" si="3"/>
        <v>0</v>
      </c>
      <c r="F42" s="183">
        <f ca="1">IF(AND(H42&gt;=startdag,H42&lt;=slutdag),IF(TODAY()&gt;=H42,Normtid!AH33,0),0)</f>
        <v>0</v>
      </c>
      <c r="G42" s="403"/>
      <c r="H42" s="181">
        <f>Normtid!AG33</f>
        <v>44163</v>
      </c>
      <c r="I42" s="182" t="str">
        <f t="shared" si="4"/>
        <v>Fre</v>
      </c>
      <c r="J42" s="184"/>
      <c r="K42" s="184"/>
      <c r="L42" s="184"/>
      <c r="M42" s="204"/>
      <c r="N42" s="379"/>
      <c r="O42" s="186" t="str">
        <f>Normtid!$AI33</f>
        <v/>
      </c>
      <c r="P42" s="188">
        <f t="shared" ca="1" si="5"/>
        <v>0</v>
      </c>
    </row>
    <row r="43" spans="1:16" ht="15.75" customHeight="1">
      <c r="B43" s="460" t="str">
        <f t="shared" ca="1" si="0"/>
        <v/>
      </c>
      <c r="C43" s="461" t="str">
        <f t="shared" ca="1" si="1"/>
        <v/>
      </c>
      <c r="D43" s="195">
        <f t="shared" ca="1" si="2"/>
        <v>0</v>
      </c>
      <c r="E43" s="196">
        <f t="shared" ca="1" si="3"/>
        <v>0</v>
      </c>
      <c r="F43" s="191">
        <f ca="1">IF(AND(H43&gt;=startdag,H43&lt;=slutdag),IF(TODAY()&gt;=H43,Normtid!AH34,0),0)</f>
        <v>0</v>
      </c>
      <c r="G43" s="403"/>
      <c r="H43" s="189">
        <f>Normtid!AG34</f>
        <v>44164</v>
      </c>
      <c r="I43" s="190" t="str">
        <f t="shared" si="4"/>
        <v>Lör</v>
      </c>
      <c r="J43" s="192"/>
      <c r="K43" s="192"/>
      <c r="L43" s="192"/>
      <c r="M43" s="202"/>
      <c r="N43" s="383"/>
      <c r="O43" s="194" t="str">
        <f>Normtid!$AI34</f>
        <v/>
      </c>
      <c r="P43" s="196">
        <f t="shared" ca="1" si="5"/>
        <v>0</v>
      </c>
    </row>
    <row r="44" spans="1:16" ht="15.75" customHeight="1">
      <c r="B44" s="464" t="str">
        <f t="shared" ca="1" si="0"/>
        <v/>
      </c>
      <c r="C44" s="465" t="str">
        <f t="shared" ca="1" si="1"/>
        <v/>
      </c>
      <c r="D44" s="389">
        <f t="shared" ca="1" si="2"/>
        <v>0</v>
      </c>
      <c r="E44" s="91">
        <f t="shared" ca="1" si="3"/>
        <v>0</v>
      </c>
      <c r="F44" s="220">
        <f ca="1">IF(AND(H44&gt;=startdag,H44&lt;=slutdag),IF(TODAY()&gt;=H44,Normtid!AH35,0),0)</f>
        <v>0</v>
      </c>
      <c r="G44" s="403"/>
      <c r="H44" s="100"/>
      <c r="I44" s="39"/>
      <c r="J44" s="96"/>
      <c r="K44" s="96"/>
      <c r="L44" s="96"/>
      <c r="M44" s="97"/>
      <c r="N44" s="214"/>
      <c r="O44" s="91"/>
      <c r="P44" s="91">
        <f t="shared" ca="1" si="5"/>
        <v>0</v>
      </c>
    </row>
    <row r="45" spans="1:16" ht="15.75" customHeight="1" thickBot="1">
      <c r="A45" s="30"/>
      <c r="B45" s="17"/>
      <c r="C45" s="336"/>
      <c r="D45" s="80"/>
      <c r="E45" s="80"/>
      <c r="F45" s="80"/>
      <c r="G45" s="80"/>
      <c r="H45" s="80"/>
      <c r="I45" s="80"/>
      <c r="J45" s="81"/>
      <c r="K45" s="80"/>
      <c r="L45" s="80"/>
      <c r="M45" s="80"/>
      <c r="N45" s="80"/>
      <c r="O45" s="80"/>
      <c r="P45" s="80"/>
    </row>
    <row r="46" spans="1:16" ht="12" customHeight="1">
      <c r="A46" s="548" t="str">
        <f>Felinfo!H10</f>
        <v>Flex 99:03C • huk-51 • ©</v>
      </c>
      <c r="C46" s="314"/>
      <c r="D46" s="64"/>
      <c r="E46" s="64"/>
      <c r="F46" s="17"/>
      <c r="G46" s="17"/>
      <c r="H46" s="51" t="str">
        <f ca="1">"Summa arbetad tid"&amp;IF(MONTH(H14)=MONTH(TODAY())," t o m ""i dag""","")</f>
        <v>Summa arbetad tid</v>
      </c>
      <c r="I46" s="52"/>
      <c r="J46" s="53"/>
      <c r="K46" s="53"/>
      <c r="L46" s="53"/>
      <c r="M46" s="53"/>
      <c r="N46" s="54"/>
      <c r="O46" s="52"/>
      <c r="P46" s="197">
        <f ca="1">IF(TODAY()&gt;=H14,SUMIF(P14:P44,"&gt;0"),0)</f>
        <v>0</v>
      </c>
    </row>
    <row r="47" spans="1:16" ht="14.25" customHeight="1">
      <c r="A47" s="555"/>
      <c r="C47" s="314"/>
      <c r="D47" s="60"/>
      <c r="E47" s="60"/>
      <c r="F47" s="17"/>
      <c r="G47" s="17"/>
      <c r="H47" s="56" t="str">
        <f ca="1">IF(MONTH(H14)=MONTH(TODAY()),"Månadens normalarbetstid t o m idag","Normalarbetstid för månaden")&amp;IF(AND(MONTH(TODAY())&gt;=MONTH(H14),N8&lt;&gt;1)," (normtid "&amp;SUM(F14:F44)&amp;" tim * tjänsteomfattning "&amp;TEXT(N8*1000,"## %)"),"")</f>
        <v>Normalarbetstid för månaden</v>
      </c>
      <c r="I47" s="17"/>
      <c r="J47" s="57"/>
      <c r="K47" s="57"/>
      <c r="L47" s="57"/>
      <c r="M47" s="57"/>
      <c r="N47" s="58"/>
      <c r="O47" s="59"/>
      <c r="P47" s="198">
        <f ca="1">IF(AND(TODAY()&gt;=H14,MONTH(H14)&gt;=MONTH(Grunddata!C22)),SUM(F14:F44)*N8,0)</f>
        <v>0</v>
      </c>
    </row>
    <row r="48" spans="1:16" ht="14.25" customHeight="1">
      <c r="A48" s="555"/>
      <c r="C48" s="314"/>
      <c r="D48" s="64"/>
      <c r="E48" s="64"/>
      <c r="F48" s="17"/>
      <c r="G48" s="17"/>
      <c r="H48" s="56" t="s">
        <v>35</v>
      </c>
      <c r="I48" s="17"/>
      <c r="J48" s="57"/>
      <c r="K48" s="61"/>
      <c r="L48" s="62"/>
      <c r="M48" s="63"/>
      <c r="N48" s="63"/>
      <c r="O48" s="63"/>
      <c r="P48" s="308">
        <f ca="1">IF(TODAY()&gt;=H14,IF(AND(MONTH(H14)=MONTH(Grunddata!C22),flyttsaldo&lt;&gt;0),flyttsaldo,OKT!P50),0)</f>
        <v>0</v>
      </c>
    </row>
    <row r="49" spans="1:16" ht="14.25" customHeight="1">
      <c r="A49" s="555"/>
      <c r="C49" s="314"/>
      <c r="D49" s="64"/>
      <c r="E49" s="64"/>
      <c r="F49" s="17"/>
      <c r="G49" s="17"/>
      <c r="H49" s="56" t="str">
        <f>IF(tjänst=1,"Över","Mer")&amp;"tidstimmar (ersättning utbetalad med "&amp;TEXT(H14,"MMMM")&amp;"lönen)"</f>
        <v>Övertidstimmar (ersättning utbetalad med novemberlönen)</v>
      </c>
      <c r="I49" s="17"/>
      <c r="J49" s="57"/>
      <c r="K49" s="61"/>
      <c r="L49" s="62"/>
      <c r="M49" s="63"/>
      <c r="N49" s="63"/>
      <c r="O49" s="63"/>
      <c r="P49" s="372"/>
    </row>
    <row r="50" spans="1:16" ht="14.25" customHeight="1">
      <c r="A50" s="555"/>
      <c r="C50" s="314"/>
      <c r="D50" s="64"/>
      <c r="E50" s="64"/>
      <c r="F50" s="17"/>
      <c r="G50" s="17"/>
      <c r="H50" s="65" t="str">
        <f ca="1">IF(MONTH(H14)=MONTH(TODAY()),"Dagens saldo +/-","Nytt saldo +/-")</f>
        <v>Nytt saldo +/-</v>
      </c>
      <c r="I50" s="66"/>
      <c r="J50" s="67"/>
      <c r="K50" s="68"/>
      <c r="L50" s="69"/>
      <c r="M50" s="69"/>
      <c r="N50" s="69"/>
      <c r="O50" s="69"/>
      <c r="P50" s="469">
        <f ca="1">IF(TODAY()&gt;=H14,P46-P47+P48-ABS(P49),0)</f>
        <v>0</v>
      </c>
    </row>
    <row r="51" spans="1:16" ht="14.25" customHeight="1" thickBot="1">
      <c r="A51" s="555"/>
      <c r="C51" s="314"/>
      <c r="D51" s="64"/>
      <c r="E51" s="64"/>
      <c r="F51" s="17"/>
      <c r="G51" s="17"/>
      <c r="H51" s="71" t="s">
        <v>29</v>
      </c>
      <c r="I51" s="72"/>
      <c r="J51" s="73"/>
      <c r="K51" s="74">
        <f ca="1">IF(L51&gt;0,"månadens: ",)</f>
        <v>0</v>
      </c>
      <c r="L51" s="75">
        <f ca="1">MOD(SUM(D14:D44),100)</f>
        <v>0</v>
      </c>
      <c r="M51" s="76">
        <f ca="1">IF(N51&gt;0,"årets: ",)</f>
        <v>0</v>
      </c>
      <c r="N51" s="75">
        <f ca="1">'2024'!K24</f>
        <v>0</v>
      </c>
      <c r="O51" s="77" t="str">
        <f ca="1">"  kvarstående:  "&amp;'2024'!$L24</f>
        <v xml:space="preserve">  kvarstående:  0</v>
      </c>
      <c r="P51" s="79"/>
    </row>
    <row r="52" spans="1:16" ht="12" customHeight="1">
      <c r="A52" s="555"/>
      <c r="C52" s="314"/>
      <c r="F52" s="466"/>
      <c r="G52" s="466"/>
      <c r="H52" s="427" t="s">
        <v>75</v>
      </c>
      <c r="I52" s="428"/>
      <c r="J52" s="429"/>
      <c r="K52" s="430" t="s">
        <v>27</v>
      </c>
      <c r="L52" s="431"/>
      <c r="M52" s="431"/>
      <c r="N52" s="432"/>
      <c r="O52" s="433"/>
      <c r="P52" s="434"/>
    </row>
    <row r="53" spans="1:16" ht="27.75" customHeight="1" thickBot="1">
      <c r="A53" s="555"/>
      <c r="F53" s="467"/>
      <c r="G53" s="467"/>
      <c r="H53" s="561"/>
      <c r="I53" s="566"/>
      <c r="J53" s="567"/>
      <c r="K53" s="7"/>
      <c r="L53" s="7"/>
      <c r="M53" s="7"/>
      <c r="N53" s="9"/>
      <c r="O53" s="3"/>
      <c r="P53" s="4"/>
    </row>
    <row r="54" spans="1:16" ht="12" customHeight="1" thickBot="1">
      <c r="A54" s="337"/>
    </row>
    <row r="55" spans="1:16" ht="12" customHeight="1">
      <c r="A55" s="337"/>
      <c r="F55" s="125"/>
      <c r="G55" s="125"/>
      <c r="H55" s="5" t="s">
        <v>19</v>
      </c>
      <c r="I55" s="5"/>
      <c r="J55" s="427" t="s">
        <v>75</v>
      </c>
      <c r="K55" s="429"/>
      <c r="L55" s="430" t="s">
        <v>26</v>
      </c>
      <c r="M55" s="431"/>
      <c r="N55" s="432"/>
      <c r="O55" s="433"/>
      <c r="P55" s="435"/>
    </row>
    <row r="56" spans="1:16" ht="27.75" customHeight="1" thickBot="1">
      <c r="A56" s="337"/>
      <c r="F56" s="125"/>
      <c r="G56" s="125"/>
      <c r="J56" s="11"/>
      <c r="K56" s="10"/>
      <c r="L56" s="7"/>
      <c r="M56" s="7"/>
      <c r="N56" s="9"/>
      <c r="O56" s="3"/>
      <c r="P56" s="4"/>
    </row>
    <row r="59" spans="1:16">
      <c r="A59" s="284"/>
      <c r="C59" s="318"/>
      <c r="D59" s="64"/>
      <c r="E59" s="64"/>
      <c r="F59" s="17"/>
      <c r="G59" s="17"/>
    </row>
    <row r="60" spans="1:16">
      <c r="A60" s="284"/>
      <c r="C60" s="318"/>
      <c r="D60" s="64"/>
      <c r="E60" s="64"/>
      <c r="F60" s="17"/>
      <c r="G60" s="17"/>
    </row>
    <row r="61" spans="1:16">
      <c r="A61" s="284"/>
      <c r="C61" s="318"/>
      <c r="D61" s="64"/>
      <c r="E61" s="64"/>
      <c r="F61" s="17"/>
      <c r="G61" s="17"/>
    </row>
    <row r="62" spans="1:16">
      <c r="A62" s="284"/>
      <c r="C62" s="318"/>
      <c r="D62" s="64"/>
      <c r="E62" s="64"/>
      <c r="F62" s="17"/>
      <c r="G62" s="17"/>
    </row>
  </sheetData>
  <sheetProtection password="C38D" sheet="1" objects="1" scenarios="1"/>
  <mergeCells count="4">
    <mergeCell ref="A46:A53"/>
    <mergeCell ref="J13:O13"/>
    <mergeCell ref="B10:C10"/>
    <mergeCell ref="H53:J53"/>
  </mergeCells>
  <phoneticPr fontId="0" type="noConversion"/>
  <conditionalFormatting sqref="A14">
    <cfRule type="cellIs" dxfId="3" priority="1" stopIfTrue="1" operator="greaterThan">
      <formula>0</formula>
    </cfRule>
  </conditionalFormatting>
  <conditionalFormatting sqref="J45 L48:L49">
    <cfRule type="cellIs" dxfId="2" priority="2" stopIfTrue="1" operator="greaterThan">
      <formula>0</formula>
    </cfRule>
  </conditionalFormatting>
  <dataValidations count="1">
    <dataValidation allowBlank="1" showInputMessage="1" showErrorMessage="1" error="Timme och minut måste skiljas med_x000a_- kolon på pc_x000a_- punkt på Mac" sqref="L5 J14:M44" xr:uid="{00000000-0002-0000-1000-000000000000}"/>
  </dataValidations>
  <printOptions verticalCentered="1"/>
  <pageMargins left="0.6692913385826772" right="0.47244094488188981" top="0.78740157480314965" bottom="0.62992125984251968" header="0.51181102362204722" footer="0.51181102362204722"/>
  <pageSetup paperSize="9" scale="87" orientation="portrait" blackAndWhite="1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Blad422711111">
    <pageSetUpPr fitToPage="1"/>
  </sheetPr>
  <dimension ref="A1:Q62"/>
  <sheetViews>
    <sheetView showGridLines="0" showRowColHeaders="0" showZeros="0" topLeftCell="A9" zoomScale="80" workbookViewId="0">
      <pane ySplit="5" topLeftCell="A14" activePane="bottomLeft" state="frozenSplit"/>
      <selection activeCell="A9" sqref="A9"/>
      <selection pane="bottomLeft" activeCell="J15" sqref="J15"/>
    </sheetView>
  </sheetViews>
  <sheetFormatPr defaultColWidth="11.3828125" defaultRowHeight="12.45"/>
  <cols>
    <col min="1" max="1" width="2.84375" style="269" customWidth="1"/>
    <col min="2" max="2" width="8.84375" style="318" hidden="1" customWidth="1"/>
    <col min="3" max="3" width="4.53515625" style="320" hidden="1" customWidth="1"/>
    <col min="4" max="4" width="11.3828125" style="354" hidden="1" customWidth="1"/>
    <col min="5" max="5" width="8.3828125" style="354" hidden="1" customWidth="1"/>
    <col min="6" max="6" width="7.15234375" style="30" hidden="1" customWidth="1"/>
    <col min="7" max="7" width="1.53515625" style="30" hidden="1" customWidth="1"/>
    <col min="8" max="8" width="4.3828125" style="1" customWidth="1"/>
    <col min="9" max="9" width="7.53515625" style="1" customWidth="1"/>
    <col min="10" max="13" width="8.15234375" style="6" customWidth="1"/>
    <col min="14" max="14" width="11.07421875" style="8" customWidth="1"/>
    <col min="15" max="15" width="36.15234375" style="1" customWidth="1"/>
    <col min="16" max="16" width="11.15234375" style="1" customWidth="1"/>
    <col min="17" max="16384" width="11.3828125" style="1"/>
  </cols>
  <sheetData>
    <row r="1" spans="1:17" s="15" customFormat="1" ht="16" customHeight="1">
      <c r="A1" s="21" t="s">
        <v>30</v>
      </c>
      <c r="B1" s="315"/>
      <c r="C1" s="315"/>
      <c r="D1" s="272"/>
      <c r="E1" s="272"/>
      <c r="F1" s="272"/>
      <c r="G1" s="272"/>
      <c r="P1" s="27" t="s">
        <v>31</v>
      </c>
    </row>
    <row r="2" spans="1:17" s="262" customFormat="1" ht="14.25" customHeight="1">
      <c r="A2" s="145">
        <f>inst</f>
        <v>0</v>
      </c>
      <c r="B2" s="317"/>
      <c r="C2" s="317"/>
      <c r="D2" s="145"/>
      <c r="E2" s="151"/>
      <c r="F2" s="451"/>
      <c r="G2" s="145"/>
    </row>
    <row r="3" spans="1:17" s="16" customFormat="1" ht="15.75" customHeight="1">
      <c r="A3" s="17"/>
      <c r="B3" s="318"/>
      <c r="C3" s="318"/>
      <c r="D3" s="17"/>
      <c r="E3" s="151"/>
      <c r="F3" s="452"/>
      <c r="G3" s="17"/>
      <c r="L3" s="29"/>
    </row>
    <row r="4" spans="1:17" ht="15.75" customHeight="1">
      <c r="A4" s="17"/>
      <c r="C4" s="318"/>
      <c r="D4" s="176"/>
      <c r="E4" s="406"/>
      <c r="F4" s="319"/>
      <c r="G4" s="17"/>
      <c r="H4" s="30"/>
      <c r="I4" s="30"/>
      <c r="J4" s="30"/>
      <c r="K4" s="30"/>
      <c r="L4" s="30"/>
      <c r="M4" s="30"/>
      <c r="N4" s="30"/>
      <c r="O4" s="31" t="s">
        <v>34</v>
      </c>
      <c r="P4" s="32">
        <f>H14</f>
        <v>44165</v>
      </c>
    </row>
    <row r="5" spans="1:17" ht="15.75" customHeight="1">
      <c r="A5" s="17"/>
      <c r="C5" s="318"/>
      <c r="D5" s="176"/>
      <c r="E5" s="176"/>
      <c r="F5" s="17"/>
      <c r="G5" s="17"/>
      <c r="H5" s="30"/>
      <c r="I5" s="30"/>
      <c r="J5" s="30"/>
      <c r="K5" s="30"/>
      <c r="L5" s="17"/>
      <c r="M5" s="30"/>
      <c r="N5" s="30"/>
      <c r="O5" s="31" t="s">
        <v>33</v>
      </c>
      <c r="P5" s="33">
        <f>H14</f>
        <v>44165</v>
      </c>
    </row>
    <row r="6" spans="1:17" ht="15.75" customHeight="1">
      <c r="A6" s="17"/>
      <c r="B6" s="17"/>
      <c r="C6" s="318"/>
      <c r="D6" s="17"/>
      <c r="E6" s="17"/>
      <c r="F6" s="17"/>
      <c r="G6" s="17"/>
      <c r="H6" s="30"/>
      <c r="I6" s="30"/>
      <c r="J6" s="30"/>
      <c r="K6" s="30"/>
      <c r="L6" s="30"/>
      <c r="M6" s="30"/>
      <c r="N6" s="30"/>
      <c r="O6" s="30"/>
      <c r="P6" s="30"/>
    </row>
    <row r="7" spans="1:17" ht="12.75" customHeight="1" thickBot="1">
      <c r="H7" s="422" t="s">
        <v>73</v>
      </c>
      <c r="I7" s="423"/>
      <c r="J7" s="423"/>
      <c r="K7" s="423"/>
      <c r="L7" s="423"/>
      <c r="M7" s="423"/>
      <c r="N7" s="422" t="s">
        <v>74</v>
      </c>
      <c r="O7" s="422" t="s">
        <v>72</v>
      </c>
      <c r="P7" s="424"/>
    </row>
    <row r="8" spans="1:17" s="2" customFormat="1" ht="17.25" customHeight="1" thickBot="1">
      <c r="A8" s="269"/>
      <c r="B8" s="318"/>
      <c r="C8" s="321"/>
      <c r="D8" s="453" t="s">
        <v>120</v>
      </c>
      <c r="E8" s="392">
        <f ca="1">INT((LEN(fel_1)+LEN(fel_2)+LEN(fel_3))/60)+COUNTIF(B14:C44,"1")</f>
        <v>3</v>
      </c>
      <c r="F8" s="323"/>
      <c r="G8" s="323"/>
      <c r="H8" s="39" t="str">
        <f>IF(namn&lt;&gt;"","  "&amp;namn,"")</f>
        <v/>
      </c>
      <c r="I8" s="40"/>
      <c r="J8" s="41"/>
      <c r="K8" s="41"/>
      <c r="L8" s="41"/>
      <c r="M8" s="41"/>
      <c r="N8" s="180">
        <f>tjänst</f>
        <v>1</v>
      </c>
      <c r="O8" s="42" t="str">
        <f>IF(p_nr&lt;&gt;"","  "&amp;p_nr,"")</f>
        <v/>
      </c>
      <c r="P8" s="287"/>
    </row>
    <row r="9" spans="1:17" s="2" customFormat="1" ht="3" customHeight="1">
      <c r="A9" s="269"/>
      <c r="B9" s="454"/>
      <c r="C9" s="455"/>
      <c r="D9" s="436"/>
      <c r="E9" s="436"/>
      <c r="F9" s="436"/>
      <c r="G9" s="402"/>
      <c r="H9" s="415"/>
      <c r="I9" s="415"/>
      <c r="J9" s="415"/>
      <c r="K9" s="415"/>
      <c r="L9" s="415"/>
      <c r="M9" s="415"/>
      <c r="N9" s="416"/>
      <c r="O9" s="417"/>
      <c r="P9" s="418"/>
    </row>
    <row r="10" spans="1:17" s="14" customFormat="1" ht="12.75" customHeight="1">
      <c r="A10" s="324"/>
      <c r="B10" s="559" t="s">
        <v>135</v>
      </c>
      <c r="C10" s="560"/>
      <c r="D10" s="437" t="s">
        <v>119</v>
      </c>
      <c r="E10" s="437" t="s">
        <v>121</v>
      </c>
      <c r="F10" s="438" t="s">
        <v>116</v>
      </c>
      <c r="G10" s="390"/>
      <c r="H10" s="409" t="s">
        <v>88</v>
      </c>
      <c r="I10" s="409" t="s">
        <v>39</v>
      </c>
      <c r="J10" s="410" t="s">
        <v>14</v>
      </c>
      <c r="K10" s="410" t="s">
        <v>15</v>
      </c>
      <c r="L10" s="410" t="s">
        <v>15</v>
      </c>
      <c r="M10" s="410" t="s">
        <v>14</v>
      </c>
      <c r="N10" s="411" t="s">
        <v>145</v>
      </c>
      <c r="O10" s="409" t="s">
        <v>76</v>
      </c>
      <c r="P10" s="412" t="s">
        <v>77</v>
      </c>
    </row>
    <row r="11" spans="1:17" s="14" customFormat="1" ht="12.75" customHeight="1">
      <c r="A11" s="324"/>
      <c r="B11" s="439" t="s">
        <v>118</v>
      </c>
      <c r="C11" s="456" t="s">
        <v>101</v>
      </c>
      <c r="D11" s="437" t="s">
        <v>118</v>
      </c>
      <c r="E11" s="437" t="s">
        <v>122</v>
      </c>
      <c r="F11" s="439" t="s">
        <v>117</v>
      </c>
      <c r="G11" s="391"/>
      <c r="H11" s="409" t="s">
        <v>9</v>
      </c>
      <c r="I11" s="409" t="s">
        <v>10</v>
      </c>
      <c r="J11" s="413" t="s">
        <v>16</v>
      </c>
      <c r="K11" s="414" t="s">
        <v>16</v>
      </c>
      <c r="L11" s="414" t="s">
        <v>17</v>
      </c>
      <c r="M11" s="410" t="s">
        <v>18</v>
      </c>
      <c r="N11" s="419" t="str">
        <f ca="1">IF(INFO("system")="mac","tim.minut","tim:minut")</f>
        <v>tim:minut</v>
      </c>
      <c r="O11" s="420" t="s">
        <v>164</v>
      </c>
      <c r="P11" s="421" t="s">
        <v>161</v>
      </c>
    </row>
    <row r="12" spans="1:17" s="2" customFormat="1" ht="3" customHeight="1">
      <c r="A12" s="269"/>
      <c r="B12" s="439"/>
      <c r="C12" s="456"/>
      <c r="D12" s="439"/>
      <c r="E12" s="439"/>
      <c r="F12" s="439"/>
      <c r="G12" s="402"/>
      <c r="H12" s="409"/>
      <c r="I12" s="409"/>
      <c r="J12" s="409"/>
      <c r="K12" s="409"/>
      <c r="L12" s="409"/>
      <c r="M12" s="409"/>
      <c r="N12" s="425"/>
      <c r="O12" s="412"/>
      <c r="P12" s="426"/>
    </row>
    <row r="13" spans="1:17" s="172" customFormat="1" ht="18" customHeight="1" thickBot="1">
      <c r="A13" s="329"/>
      <c r="B13" s="449" t="s">
        <v>10</v>
      </c>
      <c r="C13" s="457" t="s">
        <v>102</v>
      </c>
      <c r="D13" s="448" t="s">
        <v>22</v>
      </c>
      <c r="E13" s="448" t="s">
        <v>123</v>
      </c>
      <c r="F13" s="449" t="s">
        <v>142</v>
      </c>
      <c r="G13" s="401"/>
      <c r="H13" s="167" t="str">
        <f>IF(LEN(J13)&gt;0,"  INFO:","")</f>
        <v xml:space="preserve">  INFO:</v>
      </c>
      <c r="I13" s="168"/>
      <c r="J13" s="544" t="str">
        <f>IF(LEN(fel_1)&gt;0,fel_1,IF(LEN(fel_2)&gt;0,fel_2,IF(LEN(fel_3)&gt;0,fel_3,IF(LEN(fel_4)&gt;0,fel_4,IF(SUMIF(B14:B38,"&gt;0"),semfel_1&amp;TEXT(VLOOKUP(1,B14:P38,7),"D MMM")&amp;semfel_2,IF(COUNTIF(C14:C38,"1"),ändr_fel,""))))))</f>
        <v>Du har glömt ange namn och/eller personnr på fliken "Grunddata"!</v>
      </c>
      <c r="K13" s="545"/>
      <c r="L13" s="545"/>
      <c r="M13" s="545"/>
      <c r="N13" s="545"/>
      <c r="O13" s="545"/>
      <c r="P13" s="171" t="str">
        <f ca="1">IF(E8&gt;1,"Tot. "&amp;E8&amp;" fel","")</f>
        <v>Tot. 3 fel</v>
      </c>
    </row>
    <row r="14" spans="1:17" ht="17.25" customHeight="1">
      <c r="A14" s="334"/>
      <c r="B14" s="458" t="str">
        <f t="shared" ref="B14:B44" ca="1" si="0">IF(AND(F14="ej sem",OR(LEFT(O14,3)="sem",LEFT(O14,4)="sjuk")),1,"")</f>
        <v/>
      </c>
      <c r="C14" s="459" t="str">
        <f t="shared" ref="C14:C44" ca="1" si="1">IF(NOT(ISERROR(E14)),"",IF(N14&lt;&gt;"",IF(ERROR.TYPE(E14)=3,1,),))</f>
        <v/>
      </c>
      <c r="D14" s="388">
        <f t="shared" ref="D14:D44" ca="1" si="2">IF(TODAY()&gt;=H14,IF(AND(LEFT(O14,3)="SEM",F14&lt;&gt;"ej sem"),1,IF(AND(LEFT(O14,4)="sjuk",F14&lt;&gt;"ej sem"),100,0)),0)</f>
        <v>0</v>
      </c>
      <c r="E14" s="381">
        <f t="shared" ref="E14:E44" ca="1" si="3">IF(AND(TODAY()&gt;=H14,F14&gt;0,OR(J14&gt;0,L14&gt;0,N14&lt;&gt;0)),((M14-L14+K14-J14)+IF(ISBLANK(N14),0,IF(LEFT(N14,1)="-",-TIMEVALUE(RIGHT(N14,LEN(N14)-1)),IF(LEFT(N14,1)="+",TIMEVALUE(RIGHT(N14,LEN(N14)-1)),TIMEVALUE(N14)))))*24,IF(OR(D14=1,D14=100),F14*tjänst,0))</f>
        <v>0</v>
      </c>
      <c r="F14" s="183">
        <f ca="1">IF(AND(H14&gt;=startdag,H14&lt;=slutdag),IF(TODAY()&gt;=H14,Normtid!AK5,0),0)</f>
        <v>0</v>
      </c>
      <c r="G14" s="403"/>
      <c r="H14" s="375">
        <f>Normtid!AJ5</f>
        <v>44165</v>
      </c>
      <c r="I14" s="376" t="str">
        <f t="shared" ref="I14:I44" si="4">PROPER(TEXT(WEEKDAY(H14)+1,"DDD"))</f>
        <v>Sön</v>
      </c>
      <c r="J14" s="377"/>
      <c r="K14" s="377"/>
      <c r="L14" s="377"/>
      <c r="M14" s="378"/>
      <c r="N14" s="379"/>
      <c r="O14" s="380" t="str">
        <f>Normtid!$AL5</f>
        <v/>
      </c>
      <c r="P14" s="381">
        <f ca="1">IF(E14&lt;&gt;0,E14,0)</f>
        <v>0</v>
      </c>
      <c r="Q14" s="373"/>
    </row>
    <row r="15" spans="1:17" ht="15.75" customHeight="1">
      <c r="B15" s="460" t="str">
        <f t="shared" ca="1" si="0"/>
        <v/>
      </c>
      <c r="C15" s="461" t="str">
        <f t="shared" ca="1" si="1"/>
        <v/>
      </c>
      <c r="D15" s="195">
        <f t="shared" ca="1" si="2"/>
        <v>0</v>
      </c>
      <c r="E15" s="196">
        <f t="shared" ca="1" si="3"/>
        <v>0</v>
      </c>
      <c r="F15" s="191">
        <f ca="1">IF(AND(H15&gt;=startdag,H15&lt;=slutdag),IF(TODAY()&gt;=H15,Normtid!AK6,0),0)</f>
        <v>0</v>
      </c>
      <c r="G15" s="403"/>
      <c r="H15" s="189">
        <f>Normtid!AJ6</f>
        <v>44166</v>
      </c>
      <c r="I15" s="190" t="str">
        <f t="shared" si="4"/>
        <v>Mån</v>
      </c>
      <c r="J15" s="192"/>
      <c r="K15" s="192"/>
      <c r="L15" s="192"/>
      <c r="M15" s="202"/>
      <c r="N15" s="383"/>
      <c r="O15" s="194" t="str">
        <f>Normtid!$AL6</f>
        <v/>
      </c>
      <c r="P15" s="196">
        <f t="shared" ref="P15:P44" ca="1" si="5">IF(E15&lt;&gt;0,E15,0)</f>
        <v>0</v>
      </c>
      <c r="Q15" s="373"/>
    </row>
    <row r="16" spans="1:17" ht="15.75" customHeight="1">
      <c r="B16" s="462" t="str">
        <f t="shared" ca="1" si="0"/>
        <v/>
      </c>
      <c r="C16" s="463" t="str">
        <f t="shared" ca="1" si="1"/>
        <v/>
      </c>
      <c r="D16" s="388">
        <f t="shared" ca="1" si="2"/>
        <v>0</v>
      </c>
      <c r="E16" s="188">
        <f t="shared" ca="1" si="3"/>
        <v>0</v>
      </c>
      <c r="F16" s="183">
        <f ca="1">IF(AND(H16&gt;=startdag,H16&lt;=slutdag),IF(TODAY()&gt;=H16,Normtid!AK7,0),0)</f>
        <v>0</v>
      </c>
      <c r="G16" s="403"/>
      <c r="H16" s="181">
        <f>Normtid!AJ7</f>
        <v>44167</v>
      </c>
      <c r="I16" s="182" t="str">
        <f t="shared" si="4"/>
        <v>Tis</v>
      </c>
      <c r="J16" s="184"/>
      <c r="K16" s="184"/>
      <c r="L16" s="184"/>
      <c r="M16" s="204"/>
      <c r="N16" s="379"/>
      <c r="O16" s="380" t="str">
        <f>Normtid!$AL7</f>
        <v/>
      </c>
      <c r="P16" s="188">
        <f t="shared" ca="1" si="5"/>
        <v>0</v>
      </c>
      <c r="Q16" s="374"/>
    </row>
    <row r="17" spans="2:17" ht="15.75" customHeight="1">
      <c r="B17" s="460" t="str">
        <f t="shared" ca="1" si="0"/>
        <v/>
      </c>
      <c r="C17" s="461" t="str">
        <f t="shared" ca="1" si="1"/>
        <v/>
      </c>
      <c r="D17" s="195">
        <f t="shared" ca="1" si="2"/>
        <v>0</v>
      </c>
      <c r="E17" s="196">
        <f t="shared" ca="1" si="3"/>
        <v>0</v>
      </c>
      <c r="F17" s="191">
        <f ca="1">IF(AND(H17&gt;=startdag,H17&lt;=slutdag),IF(TODAY()&gt;=H17,Normtid!AK8,0),0)</f>
        <v>0</v>
      </c>
      <c r="G17" s="403"/>
      <c r="H17" s="189">
        <f>Normtid!AJ8</f>
        <v>44168</v>
      </c>
      <c r="I17" s="190" t="str">
        <f t="shared" si="4"/>
        <v>Ons</v>
      </c>
      <c r="J17" s="192"/>
      <c r="K17" s="192"/>
      <c r="L17" s="192"/>
      <c r="M17" s="202"/>
      <c r="N17" s="383"/>
      <c r="O17" s="194" t="str">
        <f>Normtid!$AL8</f>
        <v/>
      </c>
      <c r="P17" s="196">
        <f t="shared" ca="1" si="5"/>
        <v>0</v>
      </c>
      <c r="Q17" s="373"/>
    </row>
    <row r="18" spans="2:17" ht="15.75" customHeight="1">
      <c r="B18" s="462" t="str">
        <f t="shared" ca="1" si="0"/>
        <v/>
      </c>
      <c r="C18" s="463" t="str">
        <f t="shared" ca="1" si="1"/>
        <v/>
      </c>
      <c r="D18" s="388">
        <f t="shared" ca="1" si="2"/>
        <v>0</v>
      </c>
      <c r="E18" s="188">
        <f t="shared" ca="1" si="3"/>
        <v>0</v>
      </c>
      <c r="F18" s="183">
        <f ca="1">IF(AND(H18&gt;=startdag,H18&lt;=slutdag),IF(TODAY()&gt;=H18,Normtid!AK9,0),0)</f>
        <v>0</v>
      </c>
      <c r="G18" s="403"/>
      <c r="H18" s="181">
        <f>Normtid!AJ9</f>
        <v>44169</v>
      </c>
      <c r="I18" s="182" t="str">
        <f>PROPER(TEXT(WEEKDAY(H18)+1,"DDD"))</f>
        <v>Tor</v>
      </c>
      <c r="J18" s="184"/>
      <c r="K18" s="184"/>
      <c r="L18" s="184"/>
      <c r="M18" s="204"/>
      <c r="N18" s="379"/>
      <c r="O18" s="380" t="str">
        <f>Normtid!$AL9</f>
        <v/>
      </c>
      <c r="P18" s="188">
        <f t="shared" ca="1" si="5"/>
        <v>0</v>
      </c>
    </row>
    <row r="19" spans="2:17" ht="15.75" customHeight="1">
      <c r="B19" s="460" t="str">
        <f t="shared" ca="1" si="0"/>
        <v/>
      </c>
      <c r="C19" s="461" t="str">
        <f t="shared" ca="1" si="1"/>
        <v/>
      </c>
      <c r="D19" s="195">
        <f t="shared" ca="1" si="2"/>
        <v>0</v>
      </c>
      <c r="E19" s="196">
        <f t="shared" ca="1" si="3"/>
        <v>0</v>
      </c>
      <c r="F19" s="191">
        <f ca="1">IF(AND(H19&gt;=startdag,H19&lt;=slutdag),IF(TODAY()&gt;=H19,Normtid!AK10,0),0)</f>
        <v>0</v>
      </c>
      <c r="G19" s="403"/>
      <c r="H19" s="189">
        <f>Normtid!AJ10</f>
        <v>44170</v>
      </c>
      <c r="I19" s="190" t="str">
        <f t="shared" si="4"/>
        <v>Fre</v>
      </c>
      <c r="J19" s="192"/>
      <c r="K19" s="192"/>
      <c r="L19" s="192"/>
      <c r="M19" s="202"/>
      <c r="N19" s="383"/>
      <c r="O19" s="194" t="str">
        <f>Normtid!$AL10</f>
        <v/>
      </c>
      <c r="P19" s="196">
        <f t="shared" ca="1" si="5"/>
        <v>0</v>
      </c>
    </row>
    <row r="20" spans="2:17" ht="15.75" customHeight="1">
      <c r="B20" s="462" t="str">
        <f t="shared" ca="1" si="0"/>
        <v/>
      </c>
      <c r="C20" s="463" t="str">
        <f t="shared" ca="1" si="1"/>
        <v/>
      </c>
      <c r="D20" s="388">
        <f t="shared" ca="1" si="2"/>
        <v>0</v>
      </c>
      <c r="E20" s="188">
        <f t="shared" ca="1" si="3"/>
        <v>0</v>
      </c>
      <c r="F20" s="183">
        <f ca="1">IF(AND(H20&gt;=startdag,H20&lt;=slutdag),IF(TODAY()&gt;=H20,Normtid!AK11,0),0)</f>
        <v>0</v>
      </c>
      <c r="G20" s="403"/>
      <c r="H20" s="181">
        <f>Normtid!AJ11</f>
        <v>44171</v>
      </c>
      <c r="I20" s="182" t="str">
        <f t="shared" si="4"/>
        <v>Lör</v>
      </c>
      <c r="J20" s="184"/>
      <c r="K20" s="184"/>
      <c r="L20" s="184"/>
      <c r="M20" s="204"/>
      <c r="N20" s="379"/>
      <c r="O20" s="380" t="str">
        <f>Normtid!$AL11</f>
        <v/>
      </c>
      <c r="P20" s="188">
        <f t="shared" ca="1" si="5"/>
        <v>0</v>
      </c>
    </row>
    <row r="21" spans="2:17" ht="15.75" customHeight="1">
      <c r="B21" s="460" t="str">
        <f t="shared" ca="1" si="0"/>
        <v/>
      </c>
      <c r="C21" s="461" t="str">
        <f t="shared" ca="1" si="1"/>
        <v/>
      </c>
      <c r="D21" s="195">
        <f t="shared" ca="1" si="2"/>
        <v>0</v>
      </c>
      <c r="E21" s="196">
        <f t="shared" ca="1" si="3"/>
        <v>0</v>
      </c>
      <c r="F21" s="191">
        <f ca="1">IF(AND(H21&gt;=startdag,H21&lt;=slutdag),IF(TODAY()&gt;=H21,Normtid!AK12,0),0)</f>
        <v>0</v>
      </c>
      <c r="G21" s="403"/>
      <c r="H21" s="189">
        <f>Normtid!AJ12</f>
        <v>44172</v>
      </c>
      <c r="I21" s="190" t="str">
        <f t="shared" si="4"/>
        <v>Sön</v>
      </c>
      <c r="J21" s="192"/>
      <c r="K21" s="192"/>
      <c r="L21" s="192"/>
      <c r="M21" s="202"/>
      <c r="N21" s="383"/>
      <c r="O21" s="194" t="str">
        <f>Normtid!$AL12</f>
        <v/>
      </c>
      <c r="P21" s="196">
        <f t="shared" ca="1" si="5"/>
        <v>0</v>
      </c>
    </row>
    <row r="22" spans="2:17" ht="15.75" customHeight="1">
      <c r="B22" s="462" t="str">
        <f t="shared" ca="1" si="0"/>
        <v/>
      </c>
      <c r="C22" s="463" t="str">
        <f t="shared" ca="1" si="1"/>
        <v/>
      </c>
      <c r="D22" s="388">
        <f t="shared" ca="1" si="2"/>
        <v>0</v>
      </c>
      <c r="E22" s="188">
        <f t="shared" ca="1" si="3"/>
        <v>0</v>
      </c>
      <c r="F22" s="183">
        <f ca="1">IF(AND(H22&gt;=startdag,H22&lt;=slutdag),IF(TODAY()&gt;=H22,Normtid!AK13,0),0)</f>
        <v>0</v>
      </c>
      <c r="G22" s="403"/>
      <c r="H22" s="181">
        <f>Normtid!AJ13</f>
        <v>44173</v>
      </c>
      <c r="I22" s="182" t="str">
        <f t="shared" si="4"/>
        <v>Mån</v>
      </c>
      <c r="J22" s="184"/>
      <c r="K22" s="184"/>
      <c r="L22" s="184"/>
      <c r="M22" s="204"/>
      <c r="N22" s="379"/>
      <c r="O22" s="380" t="str">
        <f>Normtid!$AL13</f>
        <v/>
      </c>
      <c r="P22" s="188">
        <f t="shared" ca="1" si="5"/>
        <v>0</v>
      </c>
    </row>
    <row r="23" spans="2:17" ht="15.75" customHeight="1">
      <c r="B23" s="460" t="str">
        <f t="shared" ca="1" si="0"/>
        <v/>
      </c>
      <c r="C23" s="461" t="str">
        <f t="shared" ca="1" si="1"/>
        <v/>
      </c>
      <c r="D23" s="195">
        <f t="shared" ca="1" si="2"/>
        <v>0</v>
      </c>
      <c r="E23" s="196">
        <f t="shared" ca="1" si="3"/>
        <v>0</v>
      </c>
      <c r="F23" s="191">
        <f ca="1">IF(AND(H23&gt;=startdag,H23&lt;=slutdag),IF(TODAY()&gt;=H23,Normtid!AK14,0),0)</f>
        <v>0</v>
      </c>
      <c r="G23" s="403"/>
      <c r="H23" s="189">
        <f>Normtid!AJ14</f>
        <v>44174</v>
      </c>
      <c r="I23" s="190" t="str">
        <f t="shared" si="4"/>
        <v>Tis</v>
      </c>
      <c r="J23" s="192"/>
      <c r="K23" s="192"/>
      <c r="L23" s="192"/>
      <c r="M23" s="202"/>
      <c r="N23" s="383"/>
      <c r="O23" s="194" t="str">
        <f>Normtid!$AL14</f>
        <v/>
      </c>
      <c r="P23" s="196">
        <f t="shared" ca="1" si="5"/>
        <v>0</v>
      </c>
    </row>
    <row r="24" spans="2:17" ht="15.75" customHeight="1">
      <c r="B24" s="462" t="str">
        <f t="shared" ca="1" si="0"/>
        <v/>
      </c>
      <c r="C24" s="463" t="str">
        <f t="shared" ca="1" si="1"/>
        <v/>
      </c>
      <c r="D24" s="388">
        <f t="shared" ca="1" si="2"/>
        <v>0</v>
      </c>
      <c r="E24" s="188">
        <f t="shared" ca="1" si="3"/>
        <v>0</v>
      </c>
      <c r="F24" s="183">
        <f ca="1">IF(AND(H24&gt;=startdag,H24&lt;=slutdag),IF(TODAY()&gt;=H24,Normtid!AK15,0),0)</f>
        <v>0</v>
      </c>
      <c r="G24" s="403"/>
      <c r="H24" s="181">
        <f>Normtid!AJ15</f>
        <v>44175</v>
      </c>
      <c r="I24" s="182" t="str">
        <f t="shared" si="4"/>
        <v>Ons</v>
      </c>
      <c r="J24" s="184"/>
      <c r="K24" s="184"/>
      <c r="L24" s="184"/>
      <c r="M24" s="204"/>
      <c r="N24" s="379"/>
      <c r="O24" s="380" t="str">
        <f>Normtid!$AL15</f>
        <v/>
      </c>
      <c r="P24" s="188">
        <f t="shared" ca="1" si="5"/>
        <v>0</v>
      </c>
    </row>
    <row r="25" spans="2:17" ht="15.75" customHeight="1">
      <c r="B25" s="460" t="str">
        <f t="shared" ca="1" si="0"/>
        <v/>
      </c>
      <c r="C25" s="461" t="str">
        <f t="shared" ca="1" si="1"/>
        <v/>
      </c>
      <c r="D25" s="195">
        <f t="shared" ca="1" si="2"/>
        <v>0</v>
      </c>
      <c r="E25" s="196">
        <f t="shared" ca="1" si="3"/>
        <v>0</v>
      </c>
      <c r="F25" s="191">
        <f ca="1">IF(AND(H25&gt;=startdag,H25&lt;=slutdag),IF(TODAY()&gt;=H25,Normtid!AK16,0),0)</f>
        <v>0</v>
      </c>
      <c r="G25" s="403"/>
      <c r="H25" s="189">
        <f>Normtid!AJ16</f>
        <v>44176</v>
      </c>
      <c r="I25" s="190" t="str">
        <f t="shared" si="4"/>
        <v>Tor</v>
      </c>
      <c r="J25" s="192"/>
      <c r="K25" s="192"/>
      <c r="L25" s="192"/>
      <c r="M25" s="202"/>
      <c r="N25" s="383"/>
      <c r="O25" s="194" t="str">
        <f>Normtid!$AL16</f>
        <v/>
      </c>
      <c r="P25" s="196">
        <f t="shared" ca="1" si="5"/>
        <v>0</v>
      </c>
    </row>
    <row r="26" spans="2:17" ht="15.75" customHeight="1">
      <c r="B26" s="462" t="str">
        <f t="shared" ca="1" si="0"/>
        <v/>
      </c>
      <c r="C26" s="463" t="str">
        <f t="shared" ca="1" si="1"/>
        <v/>
      </c>
      <c r="D26" s="388">
        <f t="shared" ca="1" si="2"/>
        <v>0</v>
      </c>
      <c r="E26" s="188">
        <f t="shared" ca="1" si="3"/>
        <v>0</v>
      </c>
      <c r="F26" s="183">
        <f ca="1">IF(AND(H26&gt;=startdag,H26&lt;=slutdag),IF(TODAY()&gt;=H26,Normtid!AK17,0),0)</f>
        <v>0</v>
      </c>
      <c r="G26" s="403"/>
      <c r="H26" s="181">
        <f>Normtid!AJ17</f>
        <v>44177</v>
      </c>
      <c r="I26" s="182" t="str">
        <f t="shared" si="4"/>
        <v>Fre</v>
      </c>
      <c r="J26" s="184"/>
      <c r="K26" s="184"/>
      <c r="L26" s="184"/>
      <c r="M26" s="204"/>
      <c r="N26" s="379"/>
      <c r="O26" s="186" t="str">
        <f>Normtid!$AL17</f>
        <v/>
      </c>
      <c r="P26" s="188">
        <f t="shared" ca="1" si="5"/>
        <v>0</v>
      </c>
    </row>
    <row r="27" spans="2:17" ht="15.75" customHeight="1">
      <c r="B27" s="460" t="str">
        <f t="shared" ca="1" si="0"/>
        <v/>
      </c>
      <c r="C27" s="461" t="str">
        <f t="shared" ca="1" si="1"/>
        <v/>
      </c>
      <c r="D27" s="195">
        <f t="shared" ca="1" si="2"/>
        <v>0</v>
      </c>
      <c r="E27" s="196">
        <f t="shared" ca="1" si="3"/>
        <v>0</v>
      </c>
      <c r="F27" s="191">
        <f ca="1">IF(AND(H27&gt;=startdag,H27&lt;=slutdag),IF(TODAY()&gt;=H27,Normtid!AK18,0),0)</f>
        <v>0</v>
      </c>
      <c r="G27" s="403"/>
      <c r="H27" s="189">
        <f>Normtid!AJ18</f>
        <v>44178</v>
      </c>
      <c r="I27" s="190" t="str">
        <f t="shared" si="4"/>
        <v>Lör</v>
      </c>
      <c r="J27" s="192"/>
      <c r="K27" s="192"/>
      <c r="L27" s="192"/>
      <c r="M27" s="202"/>
      <c r="N27" s="383"/>
      <c r="O27" s="194" t="str">
        <f>Normtid!$AL18</f>
        <v/>
      </c>
      <c r="P27" s="196">
        <f t="shared" ca="1" si="5"/>
        <v>0</v>
      </c>
    </row>
    <row r="28" spans="2:17" ht="15.75" customHeight="1">
      <c r="B28" s="462" t="str">
        <f t="shared" ca="1" si="0"/>
        <v/>
      </c>
      <c r="C28" s="463" t="str">
        <f t="shared" ca="1" si="1"/>
        <v/>
      </c>
      <c r="D28" s="388">
        <f t="shared" ca="1" si="2"/>
        <v>0</v>
      </c>
      <c r="E28" s="188">
        <f t="shared" ca="1" si="3"/>
        <v>0</v>
      </c>
      <c r="F28" s="183">
        <f ca="1">IF(AND(H28&gt;=startdag,H28&lt;=slutdag),IF(TODAY()&gt;=H28,Normtid!AK19,0),0)</f>
        <v>0</v>
      </c>
      <c r="G28" s="403"/>
      <c r="H28" s="181">
        <f>Normtid!AJ19</f>
        <v>44179</v>
      </c>
      <c r="I28" s="182" t="str">
        <f t="shared" si="4"/>
        <v>Sön</v>
      </c>
      <c r="J28" s="184"/>
      <c r="K28" s="184"/>
      <c r="L28" s="184"/>
      <c r="M28" s="204"/>
      <c r="N28" s="379"/>
      <c r="O28" s="186" t="str">
        <f>Normtid!$AL19</f>
        <v/>
      </c>
      <c r="P28" s="188">
        <f t="shared" ca="1" si="5"/>
        <v>0</v>
      </c>
    </row>
    <row r="29" spans="2:17" ht="15.75" customHeight="1">
      <c r="B29" s="460" t="str">
        <f t="shared" ca="1" si="0"/>
        <v/>
      </c>
      <c r="C29" s="461" t="str">
        <f t="shared" ca="1" si="1"/>
        <v/>
      </c>
      <c r="D29" s="195">
        <f t="shared" ca="1" si="2"/>
        <v>0</v>
      </c>
      <c r="E29" s="196">
        <f t="shared" ca="1" si="3"/>
        <v>0</v>
      </c>
      <c r="F29" s="191">
        <f ca="1">IF(AND(H29&gt;=startdag,H29&lt;=slutdag),IF(TODAY()&gt;=H29,Normtid!AK20,0),0)</f>
        <v>0</v>
      </c>
      <c r="G29" s="403"/>
      <c r="H29" s="189">
        <f>Normtid!AJ20</f>
        <v>44180</v>
      </c>
      <c r="I29" s="190" t="str">
        <f t="shared" si="4"/>
        <v>Mån</v>
      </c>
      <c r="J29" s="192"/>
      <c r="K29" s="192"/>
      <c r="L29" s="192"/>
      <c r="M29" s="202"/>
      <c r="N29" s="383"/>
      <c r="O29" s="194" t="str">
        <f>Normtid!$AL20</f>
        <v/>
      </c>
      <c r="P29" s="196">
        <f t="shared" ca="1" si="5"/>
        <v>0</v>
      </c>
    </row>
    <row r="30" spans="2:17" ht="15.75" customHeight="1">
      <c r="B30" s="462" t="str">
        <f t="shared" ca="1" si="0"/>
        <v/>
      </c>
      <c r="C30" s="463" t="str">
        <f t="shared" ca="1" si="1"/>
        <v/>
      </c>
      <c r="D30" s="388">
        <f t="shared" ca="1" si="2"/>
        <v>0</v>
      </c>
      <c r="E30" s="188">
        <f t="shared" ca="1" si="3"/>
        <v>0</v>
      </c>
      <c r="F30" s="183">
        <f ca="1">IF(AND(H30&gt;=startdag,H30&lt;=slutdag),IF(TODAY()&gt;=H30,Normtid!AK21,0),0)</f>
        <v>0</v>
      </c>
      <c r="G30" s="403"/>
      <c r="H30" s="181">
        <f>Normtid!AJ21</f>
        <v>44181</v>
      </c>
      <c r="I30" s="182" t="str">
        <f t="shared" si="4"/>
        <v>Tis</v>
      </c>
      <c r="J30" s="184"/>
      <c r="K30" s="184"/>
      <c r="L30" s="184"/>
      <c r="M30" s="204"/>
      <c r="N30" s="379"/>
      <c r="O30" s="186" t="str">
        <f>Normtid!$AL21</f>
        <v/>
      </c>
      <c r="P30" s="188">
        <f t="shared" ca="1" si="5"/>
        <v>0</v>
      </c>
    </row>
    <row r="31" spans="2:17" ht="15.75" customHeight="1">
      <c r="B31" s="460" t="str">
        <f t="shared" ca="1" si="0"/>
        <v/>
      </c>
      <c r="C31" s="461" t="str">
        <f t="shared" ca="1" si="1"/>
        <v/>
      </c>
      <c r="D31" s="195">
        <f t="shared" ca="1" si="2"/>
        <v>0</v>
      </c>
      <c r="E31" s="196">
        <f t="shared" ca="1" si="3"/>
        <v>0</v>
      </c>
      <c r="F31" s="191">
        <f ca="1">IF(AND(H31&gt;=startdag,H31&lt;=slutdag),IF(TODAY()&gt;=H31,Normtid!AK22,0),0)</f>
        <v>0</v>
      </c>
      <c r="G31" s="403"/>
      <c r="H31" s="189">
        <f>Normtid!AJ22</f>
        <v>44182</v>
      </c>
      <c r="I31" s="190" t="str">
        <f t="shared" si="4"/>
        <v>Ons</v>
      </c>
      <c r="J31" s="192"/>
      <c r="K31" s="192"/>
      <c r="L31" s="192"/>
      <c r="M31" s="202"/>
      <c r="N31" s="383"/>
      <c r="O31" s="194" t="str">
        <f>Normtid!$AL22</f>
        <v/>
      </c>
      <c r="P31" s="196">
        <f t="shared" ca="1" si="5"/>
        <v>0</v>
      </c>
    </row>
    <row r="32" spans="2:17" ht="15.75" customHeight="1">
      <c r="B32" s="462" t="str">
        <f t="shared" ca="1" si="0"/>
        <v/>
      </c>
      <c r="C32" s="463" t="str">
        <f t="shared" ca="1" si="1"/>
        <v/>
      </c>
      <c r="D32" s="388">
        <f t="shared" ca="1" si="2"/>
        <v>0</v>
      </c>
      <c r="E32" s="188">
        <f t="shared" ca="1" si="3"/>
        <v>0</v>
      </c>
      <c r="F32" s="183">
        <f ca="1">IF(AND(H32&gt;=startdag,H32&lt;=slutdag),IF(TODAY()&gt;=H32,Normtid!AK23,0),0)</f>
        <v>0</v>
      </c>
      <c r="G32" s="403"/>
      <c r="H32" s="181">
        <f>Normtid!AJ23</f>
        <v>44183</v>
      </c>
      <c r="I32" s="182" t="str">
        <f t="shared" si="4"/>
        <v>Tor</v>
      </c>
      <c r="J32" s="184"/>
      <c r="K32" s="184"/>
      <c r="L32" s="184"/>
      <c r="M32" s="204"/>
      <c r="N32" s="379"/>
      <c r="O32" s="186" t="str">
        <f>Normtid!$AL23</f>
        <v/>
      </c>
      <c r="P32" s="188">
        <f t="shared" ca="1" si="5"/>
        <v>0</v>
      </c>
    </row>
    <row r="33" spans="1:16" ht="15.75" customHeight="1">
      <c r="B33" s="460" t="str">
        <f t="shared" ca="1" si="0"/>
        <v/>
      </c>
      <c r="C33" s="461" t="str">
        <f t="shared" ca="1" si="1"/>
        <v/>
      </c>
      <c r="D33" s="195">
        <f t="shared" ca="1" si="2"/>
        <v>0</v>
      </c>
      <c r="E33" s="196">
        <f t="shared" ca="1" si="3"/>
        <v>0</v>
      </c>
      <c r="F33" s="191">
        <f ca="1">IF(AND(H33&gt;=startdag,H33&lt;=slutdag),IF(TODAY()&gt;=H33,Normtid!AK24,0),0)</f>
        <v>0</v>
      </c>
      <c r="G33" s="403"/>
      <c r="H33" s="189">
        <f>Normtid!AJ24</f>
        <v>44184</v>
      </c>
      <c r="I33" s="190" t="str">
        <f t="shared" si="4"/>
        <v>Fre</v>
      </c>
      <c r="J33" s="192"/>
      <c r="K33" s="192"/>
      <c r="L33" s="192"/>
      <c r="M33" s="202"/>
      <c r="N33" s="383"/>
      <c r="O33" s="194" t="str">
        <f>Normtid!$AL24</f>
        <v/>
      </c>
      <c r="P33" s="196">
        <f t="shared" ca="1" si="5"/>
        <v>0</v>
      </c>
    </row>
    <row r="34" spans="1:16" ht="15.75" customHeight="1">
      <c r="B34" s="462" t="str">
        <f t="shared" ca="1" si="0"/>
        <v/>
      </c>
      <c r="C34" s="463" t="str">
        <f t="shared" ca="1" si="1"/>
        <v/>
      </c>
      <c r="D34" s="388">
        <f t="shared" ca="1" si="2"/>
        <v>0</v>
      </c>
      <c r="E34" s="188">
        <f t="shared" ca="1" si="3"/>
        <v>0</v>
      </c>
      <c r="F34" s="183">
        <f ca="1">IF(AND(H34&gt;=startdag,H34&lt;=slutdag),IF(TODAY()&gt;=H34,Normtid!AK25,0),0)</f>
        <v>0</v>
      </c>
      <c r="G34" s="403"/>
      <c r="H34" s="181">
        <f>Normtid!AJ25</f>
        <v>44185</v>
      </c>
      <c r="I34" s="182" t="str">
        <f t="shared" si="4"/>
        <v>Lör</v>
      </c>
      <c r="J34" s="184"/>
      <c r="K34" s="184"/>
      <c r="L34" s="184"/>
      <c r="M34" s="204"/>
      <c r="N34" s="379"/>
      <c r="O34" s="186" t="str">
        <f>Normtid!$AL25</f>
        <v/>
      </c>
      <c r="P34" s="188">
        <f t="shared" ca="1" si="5"/>
        <v>0</v>
      </c>
    </row>
    <row r="35" spans="1:16" ht="15.75" customHeight="1">
      <c r="B35" s="460" t="str">
        <f t="shared" ca="1" si="0"/>
        <v/>
      </c>
      <c r="C35" s="461" t="str">
        <f t="shared" ca="1" si="1"/>
        <v/>
      </c>
      <c r="D35" s="195">
        <f t="shared" ca="1" si="2"/>
        <v>0</v>
      </c>
      <c r="E35" s="196">
        <f t="shared" ca="1" si="3"/>
        <v>0</v>
      </c>
      <c r="F35" s="191">
        <f ca="1">IF(AND(H35&gt;=startdag,H35&lt;=slutdag),IF(TODAY()&gt;=H35,Normtid!AK26,0),0)</f>
        <v>0</v>
      </c>
      <c r="G35" s="403"/>
      <c r="H35" s="189">
        <f>Normtid!AJ26</f>
        <v>44186</v>
      </c>
      <c r="I35" s="190" t="str">
        <f t="shared" si="4"/>
        <v>Sön</v>
      </c>
      <c r="J35" s="192"/>
      <c r="K35" s="192"/>
      <c r="L35" s="192"/>
      <c r="M35" s="202"/>
      <c r="N35" s="383"/>
      <c r="O35" s="194" t="str">
        <f>Normtid!$AL26</f>
        <v/>
      </c>
      <c r="P35" s="196">
        <f t="shared" ca="1" si="5"/>
        <v>0</v>
      </c>
    </row>
    <row r="36" spans="1:16" ht="15.75" customHeight="1">
      <c r="B36" s="462" t="str">
        <f t="shared" ca="1" si="0"/>
        <v/>
      </c>
      <c r="C36" s="463" t="str">
        <f t="shared" ca="1" si="1"/>
        <v/>
      </c>
      <c r="D36" s="388">
        <f t="shared" ca="1" si="2"/>
        <v>0</v>
      </c>
      <c r="E36" s="188">
        <f t="shared" ca="1" si="3"/>
        <v>0</v>
      </c>
      <c r="F36" s="183">
        <f ca="1">IF(AND(H36&gt;=startdag,H36&lt;=slutdag),IF(TODAY()&gt;=H36,Normtid!AK27,0),0)</f>
        <v>0</v>
      </c>
      <c r="G36" s="403"/>
      <c r="H36" s="181">
        <f>Normtid!AJ27</f>
        <v>44187</v>
      </c>
      <c r="I36" s="182" t="str">
        <f t="shared" si="4"/>
        <v>Mån</v>
      </c>
      <c r="J36" s="184"/>
      <c r="K36" s="184"/>
      <c r="L36" s="184"/>
      <c r="M36" s="204"/>
      <c r="N36" s="379"/>
      <c r="O36" s="186" t="str">
        <f>Normtid!$AL27</f>
        <v>Klämdag</v>
      </c>
      <c r="P36" s="188">
        <f t="shared" ca="1" si="5"/>
        <v>0</v>
      </c>
    </row>
    <row r="37" spans="1:16" ht="15.75" customHeight="1">
      <c r="B37" s="460" t="str">
        <f t="shared" ca="1" si="0"/>
        <v/>
      </c>
      <c r="C37" s="461" t="str">
        <f t="shared" ca="1" si="1"/>
        <v/>
      </c>
      <c r="D37" s="195">
        <f t="shared" ca="1" si="2"/>
        <v>0</v>
      </c>
      <c r="E37" s="196">
        <f t="shared" ca="1" si="3"/>
        <v>0</v>
      </c>
      <c r="F37" s="191">
        <f ca="1">IF(AND(H37&gt;=startdag,H37&lt;=slutdag),IF(TODAY()&gt;=H37,Normtid!AK28,0),0)</f>
        <v>0</v>
      </c>
      <c r="G37" s="403"/>
      <c r="H37" s="189">
        <f>Normtid!AJ28</f>
        <v>44188</v>
      </c>
      <c r="I37" s="190" t="str">
        <f t="shared" si="4"/>
        <v>Tis</v>
      </c>
      <c r="J37" s="192"/>
      <c r="K37" s="192"/>
      <c r="L37" s="192"/>
      <c r="M37" s="202"/>
      <c r="N37" s="383"/>
      <c r="O37" s="514" t="str">
        <f>Normtid!$AL28</f>
        <v>Julafton</v>
      </c>
      <c r="P37" s="196">
        <f t="shared" ca="1" si="5"/>
        <v>0</v>
      </c>
    </row>
    <row r="38" spans="1:16" ht="15.75" customHeight="1">
      <c r="B38" s="462" t="str">
        <f t="shared" ca="1" si="0"/>
        <v/>
      </c>
      <c r="C38" s="463" t="str">
        <f t="shared" ca="1" si="1"/>
        <v/>
      </c>
      <c r="D38" s="388">
        <f t="shared" ca="1" si="2"/>
        <v>0</v>
      </c>
      <c r="E38" s="188">
        <f t="shared" ca="1" si="3"/>
        <v>0</v>
      </c>
      <c r="F38" s="183">
        <f ca="1">IF(AND(H38&gt;=startdag,H38&lt;=slutdag),IF(TODAY()&gt;=H38,Normtid!AK29,0),0)</f>
        <v>0</v>
      </c>
      <c r="G38" s="403"/>
      <c r="H38" s="181">
        <f>Normtid!AJ29</f>
        <v>44189</v>
      </c>
      <c r="I38" s="182" t="str">
        <f t="shared" si="4"/>
        <v>Ons</v>
      </c>
      <c r="J38" s="184"/>
      <c r="K38" s="184"/>
      <c r="L38" s="184"/>
      <c r="M38" s="204"/>
      <c r="N38" s="379"/>
      <c r="O38" s="515" t="str">
        <f>Normtid!$AL29</f>
        <v>Juldagen</v>
      </c>
      <c r="P38" s="188">
        <f t="shared" ca="1" si="5"/>
        <v>0</v>
      </c>
    </row>
    <row r="39" spans="1:16" ht="15.75" customHeight="1">
      <c r="B39" s="460" t="str">
        <f t="shared" ca="1" si="0"/>
        <v/>
      </c>
      <c r="C39" s="461" t="str">
        <f t="shared" ca="1" si="1"/>
        <v/>
      </c>
      <c r="D39" s="195">
        <f t="shared" ca="1" si="2"/>
        <v>0</v>
      </c>
      <c r="E39" s="196">
        <f t="shared" ca="1" si="3"/>
        <v>0</v>
      </c>
      <c r="F39" s="191">
        <f ca="1">IF(AND(H39&gt;=startdag,H39&lt;=slutdag),IF(TODAY()&gt;=H39,Normtid!AK30,0),0)</f>
        <v>0</v>
      </c>
      <c r="G39" s="403"/>
      <c r="H39" s="189">
        <f>Normtid!AJ30</f>
        <v>44190</v>
      </c>
      <c r="I39" s="190" t="str">
        <f t="shared" si="4"/>
        <v>Tor</v>
      </c>
      <c r="J39" s="192"/>
      <c r="K39" s="192"/>
      <c r="L39" s="192"/>
      <c r="M39" s="202"/>
      <c r="N39" s="383"/>
      <c r="O39" s="514" t="str">
        <f>Normtid!$AL30</f>
        <v>Annandag jul</v>
      </c>
      <c r="P39" s="196">
        <f t="shared" ca="1" si="5"/>
        <v>0</v>
      </c>
    </row>
    <row r="40" spans="1:16" ht="15.75" customHeight="1">
      <c r="B40" s="462" t="str">
        <f t="shared" ca="1" si="0"/>
        <v/>
      </c>
      <c r="C40" s="463" t="str">
        <f t="shared" ca="1" si="1"/>
        <v/>
      </c>
      <c r="D40" s="388">
        <f t="shared" ca="1" si="2"/>
        <v>0</v>
      </c>
      <c r="E40" s="188">
        <f t="shared" ca="1" si="3"/>
        <v>0</v>
      </c>
      <c r="F40" s="183">
        <f ca="1">IF(AND(H40&gt;=startdag,H40&lt;=slutdag),IF(TODAY()&gt;=H40,Normtid!AK31,0),0)</f>
        <v>0</v>
      </c>
      <c r="G40" s="403"/>
      <c r="H40" s="181">
        <f>Normtid!AJ31</f>
        <v>44191</v>
      </c>
      <c r="I40" s="182" t="str">
        <f t="shared" si="4"/>
        <v>Fre</v>
      </c>
      <c r="J40" s="184"/>
      <c r="K40" s="184"/>
      <c r="L40" s="184"/>
      <c r="M40" s="204"/>
      <c r="N40" s="379"/>
      <c r="O40" s="186" t="str">
        <f>Normtid!$AL31</f>
        <v>Klämdag</v>
      </c>
      <c r="P40" s="188">
        <f t="shared" ca="1" si="5"/>
        <v>0</v>
      </c>
    </row>
    <row r="41" spans="1:16" ht="15.75" customHeight="1">
      <c r="B41" s="460" t="str">
        <f t="shared" ca="1" si="0"/>
        <v/>
      </c>
      <c r="C41" s="461" t="str">
        <f t="shared" ca="1" si="1"/>
        <v/>
      </c>
      <c r="D41" s="195">
        <f t="shared" ca="1" si="2"/>
        <v>0</v>
      </c>
      <c r="E41" s="196">
        <f t="shared" ca="1" si="3"/>
        <v>0</v>
      </c>
      <c r="F41" s="191">
        <f ca="1">IF(AND(H41&gt;=startdag,H41&lt;=slutdag),IF(TODAY()&gt;=H41,Normtid!AK32,0),0)</f>
        <v>0</v>
      </c>
      <c r="G41" s="403"/>
      <c r="H41" s="189">
        <f>Normtid!AJ32</f>
        <v>44192</v>
      </c>
      <c r="I41" s="190" t="str">
        <f t="shared" si="4"/>
        <v>Lör</v>
      </c>
      <c r="J41" s="192"/>
      <c r="K41" s="192"/>
      <c r="L41" s="192"/>
      <c r="M41" s="202"/>
      <c r="N41" s="383"/>
      <c r="O41" s="194" t="str">
        <f>Normtid!$AL32</f>
        <v/>
      </c>
      <c r="P41" s="196">
        <f t="shared" ca="1" si="5"/>
        <v>0</v>
      </c>
    </row>
    <row r="42" spans="1:16" ht="15.75" customHeight="1">
      <c r="B42" s="462" t="str">
        <f t="shared" ca="1" si="0"/>
        <v/>
      </c>
      <c r="C42" s="463" t="str">
        <f t="shared" ca="1" si="1"/>
        <v/>
      </c>
      <c r="D42" s="388">
        <f t="shared" ca="1" si="2"/>
        <v>0</v>
      </c>
      <c r="E42" s="188">
        <f t="shared" ca="1" si="3"/>
        <v>0</v>
      </c>
      <c r="F42" s="183">
        <f ca="1">IF(AND(H42&gt;=startdag,H42&lt;=slutdag),IF(TODAY()&gt;=H42,Normtid!AK33,0),0)</f>
        <v>0</v>
      </c>
      <c r="G42" s="403"/>
      <c r="H42" s="181">
        <f>Normtid!AJ33</f>
        <v>44193</v>
      </c>
      <c r="I42" s="182" t="str">
        <f t="shared" si="4"/>
        <v>Sön</v>
      </c>
      <c r="J42" s="184"/>
      <c r="K42" s="184"/>
      <c r="L42" s="184"/>
      <c r="M42" s="204"/>
      <c r="N42" s="379"/>
      <c r="O42" s="186" t="str">
        <f>Normtid!$AL33</f>
        <v/>
      </c>
      <c r="P42" s="188">
        <f t="shared" ca="1" si="5"/>
        <v>0</v>
      </c>
    </row>
    <row r="43" spans="1:16" ht="15.75" customHeight="1">
      <c r="B43" s="460" t="str">
        <f t="shared" ca="1" si="0"/>
        <v/>
      </c>
      <c r="C43" s="461" t="str">
        <f t="shared" ca="1" si="1"/>
        <v/>
      </c>
      <c r="D43" s="195">
        <f t="shared" ca="1" si="2"/>
        <v>0</v>
      </c>
      <c r="E43" s="196">
        <f t="shared" ca="1" si="3"/>
        <v>0</v>
      </c>
      <c r="F43" s="191">
        <f ca="1">IF(AND(H43&gt;=startdag,H43&lt;=slutdag),IF(TODAY()&gt;=H43,Normtid!AK34,0),0)</f>
        <v>0</v>
      </c>
      <c r="G43" s="403"/>
      <c r="H43" s="189">
        <f>Normtid!AJ34</f>
        <v>44194</v>
      </c>
      <c r="I43" s="190" t="str">
        <f t="shared" si="4"/>
        <v>Mån</v>
      </c>
      <c r="J43" s="192"/>
      <c r="K43" s="192"/>
      <c r="L43" s="192"/>
      <c r="M43" s="202"/>
      <c r="N43" s="383"/>
      <c r="O43" s="194" t="str">
        <f>Normtid!$AL34</f>
        <v>Klämdag</v>
      </c>
      <c r="P43" s="196">
        <f t="shared" ca="1" si="5"/>
        <v>0</v>
      </c>
    </row>
    <row r="44" spans="1:16" ht="15.75" customHeight="1">
      <c r="B44" s="464" t="str">
        <f t="shared" ca="1" si="0"/>
        <v/>
      </c>
      <c r="C44" s="465" t="str">
        <f t="shared" ca="1" si="1"/>
        <v/>
      </c>
      <c r="D44" s="389">
        <f t="shared" ca="1" si="2"/>
        <v>0</v>
      </c>
      <c r="E44" s="91">
        <f t="shared" ca="1" si="3"/>
        <v>0</v>
      </c>
      <c r="F44" s="220">
        <f ca="1">IF(AND(H44&gt;=startdag,H44&lt;=slutdag),IF(TODAY()&gt;=H44,Normtid!AK35,0),0)</f>
        <v>0</v>
      </c>
      <c r="G44" s="403"/>
      <c r="H44" s="45">
        <f>Normtid!AJ35</f>
        <v>44195</v>
      </c>
      <c r="I44" s="46" t="str">
        <f t="shared" si="4"/>
        <v>Tis</v>
      </c>
      <c r="J44" s="48"/>
      <c r="K44" s="48"/>
      <c r="L44" s="48"/>
      <c r="M44" s="49"/>
      <c r="N44" s="382"/>
      <c r="O44" s="102" t="str">
        <f>Normtid!$AL35</f>
        <v>Nyårsafton</v>
      </c>
      <c r="P44" s="91">
        <f t="shared" ca="1" si="5"/>
        <v>0</v>
      </c>
    </row>
    <row r="45" spans="1:16" ht="15.75" customHeight="1" thickBot="1">
      <c r="A45" s="30"/>
      <c r="B45" s="17"/>
      <c r="C45" s="336"/>
      <c r="D45" s="80"/>
      <c r="E45" s="80"/>
      <c r="F45" s="80"/>
      <c r="G45" s="80"/>
      <c r="H45" s="80"/>
      <c r="I45" s="80"/>
      <c r="J45" s="81"/>
      <c r="K45" s="80"/>
      <c r="L45" s="80"/>
      <c r="M45" s="80"/>
      <c r="N45" s="80"/>
      <c r="O45" s="80"/>
      <c r="P45" s="80"/>
    </row>
    <row r="46" spans="1:16" ht="12" customHeight="1">
      <c r="A46" s="548" t="str">
        <f>Felinfo!H10</f>
        <v>Flex 99:03C • huk-51 • ©</v>
      </c>
      <c r="C46" s="314"/>
      <c r="D46" s="64"/>
      <c r="E46" s="64"/>
      <c r="F46" s="17"/>
      <c r="G46" s="17"/>
      <c r="H46" s="51" t="str">
        <f ca="1">"Summa arbetad tid"&amp;IF(MONTH(H14)=MONTH(TODAY())," t o m ""i dag""","")</f>
        <v>Summa arbetad tid t o m "i dag"</v>
      </c>
      <c r="I46" s="52"/>
      <c r="J46" s="53"/>
      <c r="K46" s="53"/>
      <c r="L46" s="53"/>
      <c r="M46" s="53"/>
      <c r="N46" s="54"/>
      <c r="O46" s="52"/>
      <c r="P46" s="197">
        <f ca="1">IF(TODAY()&gt;=H14,SUMIF(P14:P44,"&gt;0"),0)</f>
        <v>0</v>
      </c>
    </row>
    <row r="47" spans="1:16" ht="14.25" customHeight="1">
      <c r="A47" s="555"/>
      <c r="C47" s="314"/>
      <c r="D47" s="60"/>
      <c r="E47" s="60"/>
      <c r="F47" s="17"/>
      <c r="G47" s="17"/>
      <c r="H47" s="56" t="str">
        <f ca="1">IF(MONTH(H14)=MONTH(TODAY()),"Månadens normalarbetstid t o m idag","Normalarbetstid för månaden")&amp;IF(AND(MONTH(TODAY())&gt;=MONTH(H14),N8&lt;&gt;1)," (normtid "&amp;SUM(F14:F44)&amp;" tim * tjänsteomfattning "&amp;TEXT(N8*1000,"## %)"),"")</f>
        <v>Månadens normalarbetstid t o m idag</v>
      </c>
      <c r="I47" s="17"/>
      <c r="J47" s="57"/>
      <c r="K47" s="57"/>
      <c r="L47" s="57"/>
      <c r="M47" s="57"/>
      <c r="N47" s="58"/>
      <c r="O47" s="59"/>
      <c r="P47" s="198">
        <f ca="1">IF(AND(TODAY()&gt;=H14,MONTH(H14)&gt;=MONTH(Grunddata!C22)),SUM(F14:F44)*N8,0)</f>
        <v>0</v>
      </c>
    </row>
    <row r="48" spans="1:16" ht="14.25" customHeight="1">
      <c r="A48" s="555"/>
      <c r="C48" s="314"/>
      <c r="D48" s="64"/>
      <c r="E48" s="64"/>
      <c r="F48" s="17"/>
      <c r="G48" s="17"/>
      <c r="H48" s="56" t="s">
        <v>35</v>
      </c>
      <c r="I48" s="17"/>
      <c r="J48" s="57"/>
      <c r="K48" s="61"/>
      <c r="L48" s="62"/>
      <c r="M48" s="63"/>
      <c r="N48" s="63"/>
      <c r="O48" s="63"/>
      <c r="P48" s="308">
        <f ca="1">IF(TODAY()&gt;=H14,IF(AND(MONTH(H14)=MONTH(Grunddata!C22),flyttsaldo&lt;&gt;0),flyttsaldo,NOV!P50),0)</f>
        <v>0</v>
      </c>
    </row>
    <row r="49" spans="1:16" ht="14.25" customHeight="1">
      <c r="A49" s="555"/>
      <c r="C49" s="314"/>
      <c r="D49" s="64"/>
      <c r="E49" s="64"/>
      <c r="F49" s="17"/>
      <c r="G49" s="17"/>
      <c r="H49" s="56" t="str">
        <f>IF(tjänst=1,"Över","Mer")&amp;"tidstimmar (ersättning utbetalad med "&amp;TEXT(H14,"MMMM")&amp;"lönen)"</f>
        <v>Övertidstimmar (ersättning utbetalad med decemberlönen)</v>
      </c>
      <c r="I49" s="17"/>
      <c r="J49" s="57"/>
      <c r="K49" s="61"/>
      <c r="L49" s="62"/>
      <c r="M49" s="63"/>
      <c r="N49" s="63"/>
      <c r="O49" s="63"/>
      <c r="P49" s="372"/>
    </row>
    <row r="50" spans="1:16" ht="14.25" customHeight="1">
      <c r="A50" s="555"/>
      <c r="C50" s="314"/>
      <c r="D50" s="64"/>
      <c r="E50" s="64"/>
      <c r="F50" s="17"/>
      <c r="G50" s="17"/>
      <c r="H50" s="65" t="str">
        <f ca="1">IF(MONTH(H14)=MONTH(TODAY()),"Dagens saldo +/-","Nytt saldo +/-")</f>
        <v>Dagens saldo +/-</v>
      </c>
      <c r="I50" s="66"/>
      <c r="J50" s="67"/>
      <c r="K50" s="68"/>
      <c r="L50" s="69"/>
      <c r="M50" s="69"/>
      <c r="N50" s="69"/>
      <c r="O50" s="13"/>
      <c r="P50" s="469">
        <f ca="1">IF(TODAY()&gt;=H14,P46-P47+P48-ABS(P49),0)</f>
        <v>0</v>
      </c>
    </row>
    <row r="51" spans="1:16" ht="14.25" customHeight="1" thickBot="1">
      <c r="A51" s="555"/>
      <c r="C51" s="314"/>
      <c r="D51" s="64"/>
      <c r="E51" s="64"/>
      <c r="F51" s="17"/>
      <c r="G51" s="17"/>
      <c r="H51" s="71" t="s">
        <v>29</v>
      </c>
      <c r="I51" s="72"/>
      <c r="J51" s="73"/>
      <c r="K51" s="74">
        <f ca="1">IF(L51&gt;0,"månadens: ",)</f>
        <v>0</v>
      </c>
      <c r="L51" s="75">
        <f ca="1">MOD(SUM(D14:D44),100)</f>
        <v>0</v>
      </c>
      <c r="M51" s="76">
        <f ca="1">IF(N51&gt;0,"årets: ",)</f>
        <v>0</v>
      </c>
      <c r="N51" s="75">
        <f ca="1">'2024'!K25</f>
        <v>0</v>
      </c>
      <c r="O51" s="77" t="str">
        <f ca="1">"  kvarstående:  "&amp;'2024'!$L25</f>
        <v xml:space="preserve">  kvarstående:  0</v>
      </c>
      <c r="P51" s="79"/>
    </row>
    <row r="52" spans="1:16" ht="12" customHeight="1">
      <c r="A52" s="555"/>
      <c r="C52" s="314"/>
      <c r="F52" s="466"/>
      <c r="G52" s="466"/>
      <c r="H52" s="427" t="s">
        <v>75</v>
      </c>
      <c r="I52" s="428"/>
      <c r="J52" s="429"/>
      <c r="K52" s="430" t="s">
        <v>27</v>
      </c>
      <c r="L52" s="431"/>
      <c r="M52" s="431"/>
      <c r="N52" s="432"/>
      <c r="O52" s="433"/>
      <c r="P52" s="434"/>
    </row>
    <row r="53" spans="1:16" ht="27.75" customHeight="1" thickBot="1">
      <c r="A53" s="555"/>
      <c r="F53" s="467"/>
      <c r="G53" s="467"/>
      <c r="H53" s="561"/>
      <c r="I53" s="566"/>
      <c r="J53" s="567"/>
      <c r="K53" s="7"/>
      <c r="L53" s="7"/>
      <c r="M53" s="7"/>
      <c r="N53" s="9"/>
      <c r="O53" s="3"/>
      <c r="P53" s="4"/>
    </row>
    <row r="54" spans="1:16" ht="12" customHeight="1" thickBot="1">
      <c r="A54" s="337"/>
    </row>
    <row r="55" spans="1:16" ht="12" customHeight="1">
      <c r="A55" s="337"/>
      <c r="F55" s="125"/>
      <c r="G55" s="125"/>
      <c r="H55" s="5" t="s">
        <v>19</v>
      </c>
      <c r="I55" s="5"/>
      <c r="J55" s="427" t="s">
        <v>75</v>
      </c>
      <c r="K55" s="429"/>
      <c r="L55" s="430" t="s">
        <v>26</v>
      </c>
      <c r="M55" s="431"/>
      <c r="N55" s="432"/>
      <c r="O55" s="433"/>
      <c r="P55" s="435"/>
    </row>
    <row r="56" spans="1:16" ht="27.75" customHeight="1" thickBot="1">
      <c r="A56" s="337"/>
      <c r="F56" s="125"/>
      <c r="G56" s="125"/>
      <c r="J56" s="11"/>
      <c r="K56" s="10"/>
      <c r="L56" s="7"/>
      <c r="M56" s="7"/>
      <c r="N56" s="9"/>
      <c r="O56" s="3"/>
      <c r="P56" s="4"/>
    </row>
    <row r="59" spans="1:16">
      <c r="A59" s="284"/>
      <c r="C59" s="318"/>
      <c r="D59" s="64"/>
      <c r="E59" s="64"/>
      <c r="F59" s="17"/>
      <c r="G59" s="17"/>
    </row>
    <row r="60" spans="1:16">
      <c r="A60" s="284"/>
      <c r="C60" s="318"/>
      <c r="D60" s="64"/>
      <c r="E60" s="64"/>
      <c r="F60" s="17"/>
      <c r="G60" s="17"/>
    </row>
    <row r="61" spans="1:16">
      <c r="A61" s="284"/>
      <c r="C61" s="318"/>
      <c r="D61" s="64"/>
      <c r="E61" s="64"/>
      <c r="F61" s="17"/>
      <c r="G61" s="17"/>
    </row>
    <row r="62" spans="1:16">
      <c r="A62" s="284"/>
      <c r="C62" s="318"/>
      <c r="D62" s="64"/>
      <c r="E62" s="64"/>
      <c r="F62" s="17"/>
      <c r="G62" s="17"/>
    </row>
  </sheetData>
  <sheetProtection password="C38D" sheet="1" objects="1" scenarios="1"/>
  <mergeCells count="4">
    <mergeCell ref="A46:A53"/>
    <mergeCell ref="B10:C10"/>
    <mergeCell ref="J13:O13"/>
    <mergeCell ref="H53:J53"/>
  </mergeCells>
  <phoneticPr fontId="0" type="noConversion"/>
  <conditionalFormatting sqref="A14">
    <cfRule type="cellIs" dxfId="1" priority="1" stopIfTrue="1" operator="greaterThan">
      <formula>0</formula>
    </cfRule>
  </conditionalFormatting>
  <conditionalFormatting sqref="J45 L48:L49">
    <cfRule type="cellIs" dxfId="0" priority="2" stopIfTrue="1" operator="greaterThan">
      <formula>0</formula>
    </cfRule>
  </conditionalFormatting>
  <dataValidations count="1">
    <dataValidation allowBlank="1" showInputMessage="1" showErrorMessage="1" error="Timme och minut måste skiljas med_x000a_- kolon på pc_x000a_- punkt på Mac" sqref="L5 J14:M44" xr:uid="{00000000-0002-0000-1100-000000000000}"/>
  </dataValidations>
  <printOptions verticalCentered="1"/>
  <pageMargins left="0.6692913385826772" right="0.47244094488188981" top="0.78740157480314965" bottom="0.62992125984251968" header="0.51181102362204722" footer="0.51181102362204722"/>
  <pageSetup paperSize="9" scale="87" orientation="portrait" blackAndWhite="1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5">
    <tabColor rgb="FFFF0000"/>
    <pageSetUpPr fitToPage="1"/>
  </sheetPr>
  <dimension ref="A1:O46"/>
  <sheetViews>
    <sheetView showZeros="0" zoomScale="70" zoomScaleNormal="70" workbookViewId="0">
      <selection activeCell="N26" sqref="N26"/>
    </sheetView>
  </sheetViews>
  <sheetFormatPr defaultColWidth="10.84375" defaultRowHeight="14.15"/>
  <cols>
    <col min="1" max="1" width="2.3828125" style="145" customWidth="1"/>
    <col min="2" max="2" width="11.84375" style="145" customWidth="1"/>
    <col min="3" max="3" width="1.84375" style="145" customWidth="1"/>
    <col min="4" max="4" width="8" style="145" customWidth="1"/>
    <col min="5" max="5" width="8.84375" style="151" customWidth="1"/>
    <col min="6" max="6" width="24.07421875" style="145" customWidth="1"/>
    <col min="7" max="8" width="2.53515625" style="145" customWidth="1"/>
    <col min="9" max="9" width="13.15234375" style="227" customWidth="1"/>
    <col min="10" max="10" width="7.84375" style="145" customWidth="1"/>
    <col min="11" max="11" width="0.84375" style="145" customWidth="1"/>
    <col min="12" max="12" width="22.84375" style="145" customWidth="1"/>
    <col min="13" max="13" width="10.84375" style="145" customWidth="1"/>
    <col min="14" max="14" width="9.15234375" style="145" customWidth="1"/>
    <col min="15" max="15" width="6.84375" style="145" customWidth="1"/>
    <col min="16" max="16384" width="10.84375" style="145"/>
  </cols>
  <sheetData>
    <row r="1" spans="1:15">
      <c r="A1" s="143"/>
      <c r="B1" s="143"/>
      <c r="C1" s="143"/>
      <c r="D1" s="143"/>
      <c r="E1" s="144"/>
      <c r="F1" s="143"/>
      <c r="G1" s="143"/>
      <c r="H1" s="143"/>
      <c r="I1" s="224"/>
      <c r="J1" s="143"/>
      <c r="K1" s="143"/>
      <c r="L1" s="143"/>
      <c r="M1" s="143"/>
      <c r="N1" s="143"/>
      <c r="O1" s="143"/>
    </row>
    <row r="2" spans="1:15" s="153" customFormat="1" ht="20.25" customHeight="1">
      <c r="A2" s="118"/>
      <c r="B2" s="118" t="s">
        <v>148</v>
      </c>
      <c r="C2" s="118"/>
      <c r="D2" s="118"/>
      <c r="E2" s="152">
        <v>2024</v>
      </c>
      <c r="F2" s="118"/>
      <c r="G2" s="118"/>
      <c r="H2" s="118"/>
      <c r="I2" s="225"/>
      <c r="J2" s="118"/>
      <c r="K2" s="118"/>
      <c r="L2" s="118"/>
      <c r="M2" s="118"/>
      <c r="N2" s="118"/>
      <c r="O2" s="118"/>
    </row>
    <row r="3" spans="1:15" s="153" customFormat="1" ht="20.25" customHeight="1">
      <c r="A3" s="118"/>
      <c r="B3" s="118" t="s">
        <v>149</v>
      </c>
      <c r="C3" s="118"/>
      <c r="E3" s="152">
        <v>8</v>
      </c>
      <c r="F3" s="118" t="s">
        <v>127</v>
      </c>
      <c r="G3" s="118"/>
      <c r="H3" s="118"/>
      <c r="I3" s="225"/>
      <c r="J3" s="118"/>
      <c r="K3" s="118"/>
      <c r="L3" s="118"/>
      <c r="M3" s="118"/>
      <c r="N3" s="118"/>
      <c r="O3" s="118"/>
    </row>
    <row r="4" spans="1:15">
      <c r="A4" s="143"/>
      <c r="B4" s="143"/>
      <c r="C4" s="143"/>
      <c r="D4" s="143"/>
      <c r="E4" s="144"/>
      <c r="F4" s="143"/>
      <c r="G4" s="143"/>
      <c r="H4" s="143"/>
      <c r="I4" s="224"/>
      <c r="J4" s="143"/>
      <c r="K4" s="143"/>
      <c r="L4" s="143"/>
      <c r="M4" s="143"/>
      <c r="N4" s="143"/>
      <c r="O4" s="143"/>
    </row>
    <row r="5" spans="1:15" s="147" customFormat="1" ht="23.6">
      <c r="A5" s="146"/>
      <c r="B5" s="512" t="s">
        <v>183</v>
      </c>
      <c r="C5" s="162"/>
      <c r="D5" s="163" t="s">
        <v>150</v>
      </c>
      <c r="E5" s="164" t="s">
        <v>151</v>
      </c>
      <c r="F5" s="511" t="s">
        <v>184</v>
      </c>
      <c r="G5" s="146"/>
      <c r="H5" s="146"/>
      <c r="I5" s="226"/>
      <c r="J5" s="146"/>
      <c r="K5" s="146"/>
      <c r="L5" s="146"/>
      <c r="M5" s="146"/>
      <c r="N5" s="146"/>
      <c r="O5" s="146"/>
    </row>
    <row r="6" spans="1:15" ht="6.75" customHeight="1">
      <c r="A6" s="143"/>
      <c r="B6" s="143"/>
      <c r="C6" s="148"/>
      <c r="D6" s="149"/>
      <c r="E6" s="150"/>
      <c r="F6" s="148"/>
      <c r="G6" s="143"/>
      <c r="H6" s="143"/>
      <c r="I6" s="224"/>
      <c r="J6" s="143"/>
      <c r="K6" s="143"/>
      <c r="L6" s="143"/>
      <c r="M6" s="143"/>
      <c r="N6" s="143"/>
      <c r="O6" s="143"/>
    </row>
    <row r="7" spans="1:15">
      <c r="A7" s="143"/>
      <c r="B7" s="520">
        <v>43830</v>
      </c>
      <c r="C7" s="155"/>
      <c r="D7" s="156" t="s">
        <v>192</v>
      </c>
      <c r="E7" s="508"/>
      <c r="F7" s="521" t="s">
        <v>78</v>
      </c>
      <c r="G7" s="143"/>
      <c r="H7" s="143"/>
      <c r="I7" s="224"/>
      <c r="J7" s="143"/>
      <c r="K7" s="143"/>
      <c r="L7" s="143"/>
      <c r="M7" s="143"/>
      <c r="N7" s="143"/>
      <c r="O7" s="143"/>
    </row>
    <row r="8" spans="1:15" ht="14.25" customHeight="1">
      <c r="A8" s="143"/>
      <c r="B8" s="520">
        <v>43834</v>
      </c>
      <c r="C8" s="157"/>
      <c r="D8" s="156" t="s">
        <v>190</v>
      </c>
      <c r="E8" s="509">
        <v>0.5</v>
      </c>
      <c r="F8" s="510" t="s">
        <v>193</v>
      </c>
      <c r="G8" s="143"/>
      <c r="H8" s="143"/>
      <c r="I8" s="224"/>
      <c r="J8" s="143"/>
      <c r="K8" s="143"/>
      <c r="L8" s="143"/>
      <c r="M8" s="143"/>
      <c r="N8" s="143"/>
      <c r="O8" s="143"/>
    </row>
    <row r="9" spans="1:15" ht="14.25" customHeight="1">
      <c r="A9" s="143"/>
      <c r="B9" s="520">
        <v>43835</v>
      </c>
      <c r="C9" s="157"/>
      <c r="D9" s="156" t="s">
        <v>191</v>
      </c>
      <c r="E9" s="509"/>
      <c r="F9" s="510" t="s">
        <v>195</v>
      </c>
      <c r="G9" s="143"/>
      <c r="H9" s="143"/>
      <c r="I9" s="224"/>
      <c r="J9" s="143"/>
      <c r="K9" s="143"/>
      <c r="L9" s="143"/>
      <c r="M9" s="143"/>
      <c r="N9" s="143"/>
      <c r="O9" s="143"/>
    </row>
    <row r="10" spans="1:15" ht="14.25" customHeight="1">
      <c r="A10" s="143"/>
      <c r="B10" s="520">
        <v>43917</v>
      </c>
      <c r="C10" s="157"/>
      <c r="D10" s="156" t="s">
        <v>189</v>
      </c>
      <c r="E10" s="509">
        <v>0.75</v>
      </c>
      <c r="F10" s="510" t="s">
        <v>177</v>
      </c>
      <c r="G10" s="143"/>
      <c r="H10" s="143"/>
      <c r="I10" s="224"/>
      <c r="J10" s="143"/>
      <c r="K10" s="143"/>
      <c r="L10" s="143"/>
      <c r="M10" s="143"/>
      <c r="N10" s="143"/>
      <c r="O10" s="143"/>
    </row>
    <row r="11" spans="1:15" ht="14.25" customHeight="1">
      <c r="A11" s="143"/>
      <c r="B11" s="520">
        <v>43918</v>
      </c>
      <c r="C11" s="157"/>
      <c r="D11" s="156" t="s">
        <v>190</v>
      </c>
      <c r="E11" s="509"/>
      <c r="F11" s="510" t="s">
        <v>178</v>
      </c>
      <c r="G11" s="143"/>
      <c r="H11" s="143"/>
      <c r="I11" s="224"/>
      <c r="J11" s="143"/>
      <c r="K11" s="143"/>
      <c r="L11" s="143"/>
      <c r="M11" s="143"/>
      <c r="N11" s="143"/>
      <c r="O11" s="143"/>
    </row>
    <row r="12" spans="1:15" ht="14.25" customHeight="1">
      <c r="A12" s="143"/>
      <c r="B12" s="520">
        <v>43919</v>
      </c>
      <c r="C12" s="157"/>
      <c r="D12" s="156" t="s">
        <v>191</v>
      </c>
      <c r="E12" s="509"/>
      <c r="F12" s="510" t="s">
        <v>6</v>
      </c>
      <c r="G12" s="143"/>
      <c r="H12" s="143"/>
      <c r="I12" s="224"/>
      <c r="J12" s="143"/>
      <c r="K12" s="143"/>
      <c r="L12" s="143"/>
      <c r="M12" s="143"/>
      <c r="N12" s="143"/>
      <c r="O12" s="143"/>
    </row>
    <row r="13" spans="1:15" ht="14.25" customHeight="1">
      <c r="A13" s="143"/>
      <c r="B13" s="520">
        <v>43920</v>
      </c>
      <c r="C13" s="157"/>
      <c r="D13" s="156" t="s">
        <v>188</v>
      </c>
      <c r="E13" s="509"/>
      <c r="F13" s="510" t="s">
        <v>126</v>
      </c>
      <c r="G13" s="143"/>
      <c r="H13" s="143"/>
      <c r="I13" s="224"/>
      <c r="J13" s="143"/>
      <c r="K13" s="143"/>
      <c r="L13" s="143"/>
      <c r="M13" s="143"/>
      <c r="N13" s="143"/>
      <c r="O13" s="143"/>
    </row>
    <row r="14" spans="1:15" ht="14.25" customHeight="1">
      <c r="A14" s="143"/>
      <c r="B14" s="520">
        <v>43921</v>
      </c>
      <c r="C14" s="157"/>
      <c r="D14" s="156" t="s">
        <v>192</v>
      </c>
      <c r="E14" s="509"/>
      <c r="F14" s="510" t="s">
        <v>54</v>
      </c>
      <c r="G14" s="143"/>
      <c r="H14" s="143"/>
      <c r="I14" s="224"/>
      <c r="J14" s="143"/>
      <c r="K14" s="143"/>
      <c r="L14" s="143"/>
      <c r="M14" s="143"/>
      <c r="N14" s="143"/>
      <c r="O14" s="143"/>
    </row>
    <row r="15" spans="1:15" ht="14.25" customHeight="1">
      <c r="A15" s="143"/>
      <c r="B15" s="520">
        <v>43950</v>
      </c>
      <c r="C15" s="157"/>
      <c r="D15" s="156" t="s">
        <v>196</v>
      </c>
      <c r="E15" s="509">
        <v>0.75</v>
      </c>
      <c r="F15" s="510" t="s">
        <v>194</v>
      </c>
      <c r="G15" s="143"/>
      <c r="H15" s="143"/>
      <c r="I15" s="224"/>
      <c r="J15" s="143"/>
      <c r="K15" s="143"/>
      <c r="L15" s="143"/>
      <c r="M15" s="143"/>
      <c r="N15" s="143"/>
      <c r="O15" s="143"/>
    </row>
    <row r="16" spans="1:15" ht="14.25" customHeight="1">
      <c r="A16" s="143"/>
      <c r="B16" s="520">
        <v>43951</v>
      </c>
      <c r="C16" s="157"/>
      <c r="D16" s="156" t="s">
        <v>197</v>
      </c>
      <c r="E16" s="509"/>
      <c r="F16" s="510" t="s">
        <v>186</v>
      </c>
      <c r="G16" s="143"/>
      <c r="H16" s="143"/>
      <c r="I16" s="224"/>
      <c r="J16" s="143"/>
      <c r="K16" s="143"/>
      <c r="L16" s="143"/>
      <c r="M16" s="143"/>
      <c r="N16" s="143"/>
      <c r="O16" s="143"/>
    </row>
    <row r="17" spans="1:15" ht="14.25" customHeight="1">
      <c r="A17" s="143"/>
      <c r="B17" s="520">
        <v>43959</v>
      </c>
      <c r="C17" s="157"/>
      <c r="D17" s="156" t="s">
        <v>189</v>
      </c>
      <c r="E17" s="509"/>
      <c r="F17" s="510" t="s">
        <v>187</v>
      </c>
      <c r="G17" s="143"/>
      <c r="H17" s="143"/>
      <c r="I17" s="224"/>
      <c r="J17" s="143"/>
      <c r="K17" s="143"/>
      <c r="L17" s="143"/>
      <c r="M17" s="143"/>
      <c r="N17" s="143"/>
      <c r="O17" s="143"/>
    </row>
    <row r="18" spans="1:15" ht="14.25" customHeight="1">
      <c r="A18" s="143"/>
      <c r="B18" s="520">
        <v>43960</v>
      </c>
      <c r="C18" s="157"/>
      <c r="D18" s="156" t="s">
        <v>190</v>
      </c>
      <c r="E18" s="509"/>
      <c r="F18" s="510" t="s">
        <v>80</v>
      </c>
      <c r="G18" s="143"/>
      <c r="H18" s="143"/>
      <c r="I18" s="224"/>
      <c r="J18" s="143"/>
      <c r="K18" s="143"/>
      <c r="L18" s="143"/>
      <c r="M18" s="143"/>
      <c r="N18" s="143"/>
      <c r="O18" s="143"/>
    </row>
    <row r="19" spans="1:15" ht="14.25" customHeight="1">
      <c r="A19" s="143"/>
      <c r="B19" s="520">
        <v>43968</v>
      </c>
      <c r="C19" s="157"/>
      <c r="D19" s="156" t="s">
        <v>191</v>
      </c>
      <c r="E19" s="509"/>
      <c r="F19" s="510" t="s">
        <v>81</v>
      </c>
      <c r="G19" s="143"/>
      <c r="H19" s="143"/>
      <c r="I19" s="224"/>
      <c r="J19" s="143"/>
      <c r="K19" s="143"/>
      <c r="L19" s="143"/>
      <c r="M19" s="143"/>
      <c r="N19" s="143"/>
      <c r="O19" s="143"/>
    </row>
    <row r="20" spans="1:15" ht="14.25" customHeight="1">
      <c r="A20" s="143"/>
      <c r="B20" s="520">
        <v>43969</v>
      </c>
      <c r="C20" s="157"/>
      <c r="D20" s="156" t="s">
        <v>188</v>
      </c>
      <c r="E20" s="509"/>
      <c r="F20" s="510" t="s">
        <v>82</v>
      </c>
      <c r="G20" s="143"/>
      <c r="H20" s="143"/>
      <c r="I20" s="224"/>
      <c r="J20" s="143"/>
      <c r="K20" s="143"/>
      <c r="L20" s="143"/>
      <c r="M20" s="143"/>
      <c r="N20" s="143"/>
      <c r="O20" s="143"/>
    </row>
    <row r="21" spans="1:15" ht="14.25" customHeight="1">
      <c r="A21" s="143"/>
      <c r="B21" s="520">
        <v>43987</v>
      </c>
      <c r="C21" s="157"/>
      <c r="D21" s="156" t="s">
        <v>189</v>
      </c>
      <c r="E21" s="509"/>
      <c r="F21" s="510" t="s">
        <v>169</v>
      </c>
      <c r="G21" s="143"/>
      <c r="H21" s="143"/>
      <c r="I21" s="224"/>
      <c r="J21" s="143"/>
      <c r="K21" s="143"/>
      <c r="L21" s="143"/>
      <c r="M21" s="143"/>
      <c r="N21" s="143"/>
      <c r="O21" s="143"/>
    </row>
    <row r="22" spans="1:15" ht="14.25" customHeight="1">
      <c r="A22" s="143"/>
      <c r="B22" s="520">
        <v>43988</v>
      </c>
      <c r="C22" s="157"/>
      <c r="D22" s="156" t="s">
        <v>190</v>
      </c>
      <c r="E22" s="509"/>
      <c r="F22" s="510" t="s">
        <v>80</v>
      </c>
      <c r="G22" s="143"/>
      <c r="H22" s="143"/>
      <c r="I22" s="224"/>
      <c r="J22" s="143"/>
      <c r="K22" s="143"/>
      <c r="L22" s="143"/>
      <c r="M22" s="143"/>
      <c r="N22" s="143"/>
      <c r="O22" s="143"/>
    </row>
    <row r="23" spans="1:15" ht="14.25" customHeight="1">
      <c r="A23" s="143"/>
      <c r="B23" s="520">
        <v>44002</v>
      </c>
      <c r="C23" s="157"/>
      <c r="D23" s="156" t="s">
        <v>190</v>
      </c>
      <c r="E23" s="509"/>
      <c r="F23" s="510" t="s">
        <v>83</v>
      </c>
      <c r="G23" s="143"/>
      <c r="H23" s="501"/>
      <c r="I23" s="224"/>
      <c r="J23" s="143"/>
      <c r="K23" s="143"/>
      <c r="L23" s="143"/>
      <c r="M23" s="143"/>
      <c r="N23" s="143"/>
      <c r="O23" s="143"/>
    </row>
    <row r="24" spans="1:15" ht="14.25" customHeight="1">
      <c r="A24" s="143"/>
      <c r="B24" s="520">
        <v>44003</v>
      </c>
      <c r="C24" s="157"/>
      <c r="D24" s="156" t="s">
        <v>191</v>
      </c>
      <c r="E24" s="509"/>
      <c r="F24" s="510" t="s">
        <v>84</v>
      </c>
      <c r="G24" s="143"/>
      <c r="H24" s="229"/>
      <c r="I24" s="228"/>
      <c r="J24" s="122"/>
      <c r="K24" s="122"/>
      <c r="L24" s="122"/>
      <c r="M24" s="143"/>
      <c r="N24" s="143"/>
      <c r="O24" s="143"/>
    </row>
    <row r="25" spans="1:15" ht="14.25" customHeight="1">
      <c r="A25" s="143"/>
      <c r="B25" s="520">
        <v>44135</v>
      </c>
      <c r="C25" s="157"/>
      <c r="D25" s="156" t="s">
        <v>190</v>
      </c>
      <c r="E25" s="509">
        <v>0.5</v>
      </c>
      <c r="F25" s="510" t="s">
        <v>179</v>
      </c>
      <c r="G25" s="143"/>
      <c r="H25" s="122"/>
      <c r="I25" s="498"/>
      <c r="J25" s="499"/>
      <c r="K25" s="122"/>
      <c r="L25" s="122"/>
      <c r="M25" s="143"/>
      <c r="N25" s="143"/>
      <c r="O25" s="143"/>
    </row>
    <row r="26" spans="1:15" ht="14.25" customHeight="1">
      <c r="A26" s="143"/>
      <c r="B26" s="520">
        <v>44136</v>
      </c>
      <c r="C26" s="157"/>
      <c r="D26" s="156" t="s">
        <v>191</v>
      </c>
      <c r="E26" s="509"/>
      <c r="F26" s="510" t="s">
        <v>37</v>
      </c>
      <c r="G26" s="143"/>
      <c r="H26" s="122"/>
      <c r="I26" s="498"/>
      <c r="J26" s="500"/>
      <c r="K26" s="122"/>
      <c r="L26" s="498"/>
      <c r="M26" s="143"/>
      <c r="N26" s="143"/>
      <c r="O26" s="143"/>
    </row>
    <row r="27" spans="1:15" ht="14.25" customHeight="1">
      <c r="A27" s="143"/>
      <c r="B27" s="520">
        <v>44187</v>
      </c>
      <c r="C27" s="157"/>
      <c r="D27" s="156" t="s">
        <v>192</v>
      </c>
      <c r="E27" s="509"/>
      <c r="F27" s="510" t="s">
        <v>80</v>
      </c>
      <c r="G27" s="143"/>
      <c r="H27" s="122"/>
      <c r="I27" s="498"/>
      <c r="J27" s="500"/>
      <c r="K27" s="122"/>
      <c r="L27" s="498"/>
      <c r="M27" s="143"/>
      <c r="N27" s="143"/>
      <c r="O27" s="143"/>
    </row>
    <row r="28" spans="1:15" ht="14.25" customHeight="1">
      <c r="A28" s="143"/>
      <c r="B28" s="520">
        <v>44188</v>
      </c>
      <c r="C28" s="157"/>
      <c r="D28" s="156" t="s">
        <v>196</v>
      </c>
      <c r="E28" s="509"/>
      <c r="F28" s="510" t="s">
        <v>85</v>
      </c>
      <c r="G28" s="143"/>
      <c r="H28" s="122"/>
      <c r="I28" s="498"/>
      <c r="J28" s="500"/>
      <c r="K28" s="122"/>
      <c r="L28" s="122"/>
      <c r="M28" s="143"/>
      <c r="N28" s="143"/>
      <c r="O28" s="143"/>
    </row>
    <row r="29" spans="1:15" ht="14.25" customHeight="1">
      <c r="A29" s="143"/>
      <c r="B29" s="520">
        <v>44189</v>
      </c>
      <c r="C29" s="157"/>
      <c r="D29" s="156" t="s">
        <v>197</v>
      </c>
      <c r="E29" s="509"/>
      <c r="F29" s="510" t="s">
        <v>86</v>
      </c>
      <c r="G29" s="143"/>
      <c r="H29" s="122"/>
      <c r="I29" s="498"/>
      <c r="J29" s="499"/>
      <c r="K29" s="122"/>
      <c r="L29" s="122"/>
      <c r="M29" s="143"/>
      <c r="N29" s="143"/>
      <c r="O29" s="143"/>
    </row>
    <row r="30" spans="1:15" ht="14.25" customHeight="1">
      <c r="A30" s="143"/>
      <c r="B30" s="520">
        <v>44190</v>
      </c>
      <c r="C30" s="161"/>
      <c r="D30" s="156" t="s">
        <v>189</v>
      </c>
      <c r="E30" s="516"/>
      <c r="F30" s="518" t="s">
        <v>38</v>
      </c>
      <c r="G30" s="143"/>
      <c r="H30" s="122"/>
      <c r="I30" s="498"/>
      <c r="J30" s="499"/>
      <c r="K30" s="122"/>
      <c r="L30" s="122"/>
      <c r="M30" s="143"/>
      <c r="N30" s="143"/>
      <c r="O30" s="143"/>
    </row>
    <row r="31" spans="1:15" ht="14.25" customHeight="1">
      <c r="A31" s="143"/>
      <c r="B31" s="520">
        <v>44191</v>
      </c>
      <c r="C31" s="161"/>
      <c r="D31" s="156" t="s">
        <v>190</v>
      </c>
      <c r="E31" s="516"/>
      <c r="F31" s="518" t="s">
        <v>80</v>
      </c>
      <c r="G31" s="143"/>
      <c r="H31" s="122"/>
      <c r="I31" s="498"/>
      <c r="J31" s="499"/>
      <c r="K31" s="122"/>
      <c r="L31" s="122"/>
      <c r="M31" s="143"/>
      <c r="N31" s="143"/>
      <c r="O31" s="143"/>
    </row>
    <row r="32" spans="1:15" ht="14.25" customHeight="1">
      <c r="A32" s="143"/>
      <c r="B32" s="520">
        <v>44194</v>
      </c>
      <c r="C32" s="161"/>
      <c r="D32" s="156" t="s">
        <v>192</v>
      </c>
      <c r="E32" s="516"/>
      <c r="F32" s="518" t="s">
        <v>80</v>
      </c>
      <c r="G32" s="143"/>
      <c r="H32" s="122"/>
      <c r="I32" s="498"/>
      <c r="J32" s="499"/>
      <c r="K32" s="122"/>
      <c r="L32" s="122"/>
      <c r="M32" s="143"/>
      <c r="N32" s="143"/>
      <c r="O32" s="143"/>
    </row>
    <row r="33" spans="1:15" ht="14.25" customHeight="1">
      <c r="A33" s="143"/>
      <c r="B33" s="520">
        <v>44195</v>
      </c>
      <c r="C33" s="161"/>
      <c r="D33" s="156" t="s">
        <v>196</v>
      </c>
      <c r="E33" s="158"/>
      <c r="F33" s="519" t="s">
        <v>87</v>
      </c>
      <c r="G33" s="143"/>
      <c r="H33" s="122"/>
      <c r="I33" s="498"/>
      <c r="J33" s="499"/>
      <c r="K33" s="122"/>
      <c r="L33" s="122"/>
      <c r="M33" s="143"/>
      <c r="N33" s="143"/>
      <c r="O33" s="143"/>
    </row>
    <row r="34" spans="1:15" ht="14.25" customHeight="1">
      <c r="A34" s="143"/>
      <c r="B34" s="154"/>
      <c r="C34" s="157"/>
      <c r="D34" s="156"/>
      <c r="E34" s="510"/>
      <c r="F34" s="517"/>
      <c r="G34" s="143"/>
      <c r="H34" s="122"/>
      <c r="I34" s="498"/>
      <c r="J34" s="499"/>
      <c r="K34" s="122"/>
      <c r="L34" s="122"/>
      <c r="M34" s="143"/>
      <c r="N34" s="143"/>
      <c r="O34" s="143"/>
    </row>
    <row r="35" spans="1:15" ht="14.25" customHeight="1">
      <c r="A35" s="535"/>
      <c r="B35" s="154"/>
      <c r="C35" s="157"/>
      <c r="D35" s="156"/>
      <c r="E35" s="510"/>
      <c r="F35" s="517"/>
      <c r="G35" s="143"/>
      <c r="H35" s="143"/>
      <c r="I35" s="224"/>
      <c r="J35" s="143"/>
      <c r="K35" s="143"/>
      <c r="L35" s="143"/>
      <c r="M35" s="143"/>
      <c r="N35" s="143"/>
      <c r="O35" s="143"/>
    </row>
    <row r="36" spans="1:15" ht="14.25" customHeight="1">
      <c r="A36" s="535"/>
      <c r="B36" s="154"/>
      <c r="C36" s="161"/>
      <c r="D36" s="156"/>
      <c r="E36" s="158"/>
      <c r="F36" s="159"/>
      <c r="G36" s="143"/>
      <c r="H36" s="122"/>
      <c r="I36" s="498"/>
      <c r="J36" s="499"/>
      <c r="K36" s="122"/>
      <c r="L36" s="122"/>
      <c r="M36" s="143"/>
      <c r="N36" s="143"/>
      <c r="O36" s="143"/>
    </row>
    <row r="37" spans="1:15" ht="14.25" customHeight="1">
      <c r="A37" s="535"/>
      <c r="B37" s="160"/>
      <c r="C37" s="161"/>
      <c r="D37" s="156" t="str">
        <f>IF(B37&gt;0,PROPER(TEXT(WEEKDAY(B37)+1,"DDD")),"")</f>
        <v/>
      </c>
      <c r="E37" s="158"/>
      <c r="F37" s="159"/>
      <c r="G37" s="143"/>
      <c r="H37" s="122"/>
      <c r="I37" s="498"/>
      <c r="J37" s="499"/>
      <c r="K37" s="122"/>
      <c r="L37" s="122"/>
      <c r="M37" s="143"/>
      <c r="N37" s="143"/>
      <c r="O37" s="143"/>
    </row>
    <row r="38" spans="1:15" ht="14.25" customHeight="1">
      <c r="A38" s="143"/>
      <c r="B38" s="160"/>
      <c r="C38" s="161"/>
      <c r="D38" s="156" t="str">
        <f>IF(B38&gt;0,PROPER(TEXT(WEEKDAY(B38)+1,"DDD")),"")</f>
        <v/>
      </c>
      <c r="E38" s="158"/>
      <c r="F38" s="159"/>
      <c r="G38" s="143"/>
      <c r="H38" s="143"/>
      <c r="I38" s="224"/>
      <c r="J38" s="143"/>
      <c r="K38" s="143"/>
      <c r="L38" s="143"/>
      <c r="M38" s="143"/>
      <c r="N38" s="143"/>
      <c r="O38" s="143"/>
    </row>
    <row r="39" spans="1:15" ht="14.25" customHeight="1">
      <c r="A39" s="143"/>
      <c r="B39" s="143"/>
      <c r="C39" s="143"/>
      <c r="D39" s="143"/>
      <c r="E39" s="144"/>
      <c r="F39" s="143"/>
      <c r="G39" s="143"/>
      <c r="H39" s="143"/>
      <c r="I39" s="224"/>
      <c r="J39" s="143"/>
      <c r="K39" s="143"/>
      <c r="L39" s="143"/>
      <c r="M39" s="143"/>
      <c r="N39" s="143"/>
      <c r="O39" s="143"/>
    </row>
    <row r="40" spans="1:15">
      <c r="A40" s="143"/>
      <c r="B40" s="143"/>
      <c r="C40" s="143"/>
      <c r="D40" s="143"/>
      <c r="E40" s="144"/>
      <c r="F40" s="143"/>
      <c r="G40" s="143"/>
      <c r="H40" s="143"/>
      <c r="I40" s="224"/>
      <c r="J40" s="143"/>
      <c r="K40" s="143"/>
      <c r="L40" s="143"/>
      <c r="M40" s="143"/>
      <c r="N40" s="143"/>
      <c r="O40" s="143"/>
    </row>
    <row r="41" spans="1:15">
      <c r="A41" s="143"/>
      <c r="B41" s="143"/>
      <c r="C41" s="143"/>
      <c r="D41" s="143"/>
      <c r="E41" s="144"/>
      <c r="F41" s="143"/>
      <c r="G41" s="143"/>
      <c r="H41" s="143"/>
      <c r="I41" s="224"/>
      <c r="J41" s="143"/>
      <c r="K41" s="143"/>
      <c r="L41" s="143"/>
      <c r="M41" s="143"/>
      <c r="N41" s="143"/>
      <c r="O41" s="143"/>
    </row>
    <row r="42" spans="1:15">
      <c r="A42" s="143"/>
      <c r="B42" s="143"/>
      <c r="C42" s="143"/>
      <c r="D42" s="143"/>
      <c r="E42" s="144"/>
      <c r="F42" s="143"/>
      <c r="G42" s="143"/>
      <c r="H42" s="143"/>
      <c r="I42" s="224"/>
      <c r="J42" s="143"/>
      <c r="K42" s="143"/>
      <c r="L42" s="143"/>
      <c r="M42" s="143"/>
      <c r="N42" s="143"/>
      <c r="O42" s="143"/>
    </row>
    <row r="43" spans="1:15">
      <c r="A43" s="143"/>
      <c r="B43" s="266"/>
      <c r="C43" s="143"/>
      <c r="D43" s="143"/>
      <c r="E43" s="144"/>
      <c r="F43" s="143"/>
      <c r="G43" s="143"/>
      <c r="H43" s="143"/>
      <c r="I43" s="224"/>
      <c r="J43" s="143"/>
      <c r="K43" s="143"/>
      <c r="L43" s="143"/>
      <c r="M43" s="143"/>
      <c r="N43" s="143"/>
      <c r="O43" s="143"/>
    </row>
    <row r="44" spans="1:15">
      <c r="B44" s="266" t="s">
        <v>155</v>
      </c>
      <c r="C44" s="143"/>
      <c r="D44" s="143"/>
      <c r="E44" s="144"/>
      <c r="F44" s="143"/>
      <c r="G44" s="143"/>
      <c r="H44" s="143"/>
      <c r="I44" s="224"/>
      <c r="J44" s="143"/>
      <c r="K44" s="143"/>
      <c r="L44" s="143"/>
      <c r="M44" s="143"/>
      <c r="N44" s="143"/>
      <c r="O44" s="143"/>
    </row>
    <row r="45" spans="1:15">
      <c r="G45" s="143"/>
      <c r="H45" s="143"/>
      <c r="I45" s="224"/>
      <c r="J45" s="143"/>
      <c r="K45" s="143"/>
      <c r="L45" s="143"/>
      <c r="N45" s="143" t="s">
        <v>156</v>
      </c>
      <c r="O45" s="143"/>
    </row>
    <row r="46" spans="1:15">
      <c r="G46" s="143"/>
      <c r="H46" s="143"/>
      <c r="I46" s="224"/>
    </row>
  </sheetData>
  <sheetProtection sheet="1" objects="1" scenarios="1"/>
  <mergeCells count="1">
    <mergeCell ref="A35:A37"/>
  </mergeCells>
  <phoneticPr fontId="0" type="noConversion"/>
  <pageMargins left="0.43" right="0.75" top="0.83" bottom="0.5" header="0.4" footer="0.39"/>
  <pageSetup paperSize="9" scale="8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4">
    <tabColor rgb="FFFF0000"/>
    <pageSetUpPr fitToPage="1"/>
  </sheetPr>
  <dimension ref="A1:H35"/>
  <sheetViews>
    <sheetView showGridLines="0" showRowColHeaders="0" showZeros="0" zoomScale="90" workbookViewId="0">
      <selection activeCell="D3" sqref="D3"/>
    </sheetView>
  </sheetViews>
  <sheetFormatPr defaultColWidth="11.3828125" defaultRowHeight="12.45"/>
  <cols>
    <col min="1" max="1" width="3.84375" style="166" customWidth="1"/>
    <col min="2" max="2" width="9.07421875" style="166" customWidth="1"/>
    <col min="3" max="3" width="50" style="166" customWidth="1"/>
    <col min="4" max="4" width="5.15234375" style="166" customWidth="1"/>
    <col min="5" max="5" width="2.07421875" style="166" customWidth="1"/>
    <col min="6" max="6" width="2" style="166" customWidth="1"/>
    <col min="7" max="7" width="15.07421875" style="166" customWidth="1"/>
    <col min="8" max="8" width="27.07421875" style="166" customWidth="1"/>
    <col min="9" max="16384" width="11.3828125" style="166"/>
  </cols>
  <sheetData>
    <row r="1" spans="2:8" ht="9" customHeight="1"/>
    <row r="2" spans="2:8" s="235" customFormat="1" ht="20.25" customHeight="1">
      <c r="B2" s="235" t="s">
        <v>59</v>
      </c>
      <c r="D2" s="236"/>
    </row>
    <row r="3" spans="2:8" s="235" customFormat="1" ht="20.25" customHeight="1">
      <c r="D3" s="236"/>
      <c r="F3" s="237" t="s">
        <v>138</v>
      </c>
    </row>
    <row r="4" spans="2:8" ht="15.75" customHeight="1">
      <c r="B4" s="231" t="s">
        <v>49</v>
      </c>
      <c r="C4" s="166" t="str">
        <f>CONCATENATE(C$10,C$12,C$15)</f>
        <v>Du har glömt ange namn och/eller personnr på fliken "Grunddata"!</v>
      </c>
      <c r="D4" s="234"/>
      <c r="G4" s="166" t="s">
        <v>139</v>
      </c>
      <c r="H4" s="166" t="s">
        <v>174</v>
      </c>
    </row>
    <row r="5" spans="2:8" ht="15.75" customHeight="1">
      <c r="B5" s="231" t="s">
        <v>50</v>
      </c>
      <c r="C5" s="166" t="str">
        <f>CONCATENATE(C$10,C$13,C$15)</f>
        <v>Du har glömt ange antal semesterdagar på fliken "Grunddata"!</v>
      </c>
      <c r="D5" s="234"/>
      <c r="G5" s="166" t="s">
        <v>140</v>
      </c>
      <c r="H5" s="166" t="s">
        <v>175</v>
      </c>
    </row>
    <row r="6" spans="2:8" ht="15.75" customHeight="1">
      <c r="B6" s="231" t="s">
        <v>51</v>
      </c>
      <c r="C6" s="166" t="str">
        <f>CONCATENATE(C$10,C$14,C$15)</f>
        <v>Du har glömt ange fjolårets flex-saldo på fliken "Grunddata"!</v>
      </c>
      <c r="D6" s="234"/>
      <c r="G6" s="166" t="s">
        <v>141</v>
      </c>
      <c r="H6" s="166" t="s">
        <v>165</v>
      </c>
    </row>
    <row r="7" spans="2:8" ht="15.75" customHeight="1">
      <c r="B7" s="231" t="s">
        <v>52</v>
      </c>
      <c r="C7" s="166" t="s">
        <v>57</v>
      </c>
      <c r="D7" s="234"/>
      <c r="G7" s="166" t="s">
        <v>142</v>
      </c>
      <c r="H7" s="166" t="s">
        <v>166</v>
      </c>
    </row>
    <row r="8" spans="2:8" ht="9.75" customHeight="1">
      <c r="D8" s="234"/>
    </row>
    <row r="9" spans="2:8" s="238" customFormat="1" ht="21.75" customHeight="1">
      <c r="B9" s="235" t="s">
        <v>58</v>
      </c>
      <c r="D9" s="239"/>
      <c r="G9" s="166" t="s">
        <v>143</v>
      </c>
      <c r="H9" s="166" t="s">
        <v>167</v>
      </c>
    </row>
    <row r="10" spans="2:8" ht="15.75" customHeight="1">
      <c r="B10" s="166" t="s">
        <v>112</v>
      </c>
      <c r="C10" s="166" t="str">
        <f>"Du har glömt ange "</f>
        <v xml:space="preserve">Du har glömt ange </v>
      </c>
      <c r="D10" s="234"/>
      <c r="G10" s="238" t="s">
        <v>144</v>
      </c>
      <c r="H10" s="238" t="s">
        <v>168</v>
      </c>
    </row>
    <row r="11" spans="2:8" ht="15.75" customHeight="1">
      <c r="B11" s="166" t="s">
        <v>114</v>
      </c>
      <c r="D11" s="234"/>
    </row>
    <row r="12" spans="2:8" ht="15.75" customHeight="1">
      <c r="B12" s="231" t="s">
        <v>89</v>
      </c>
      <c r="C12" s="166" t="str">
        <f>"namn och/eller personnr"</f>
        <v>namn och/eller personnr</v>
      </c>
      <c r="D12" s="234"/>
    </row>
    <row r="13" spans="2:8" ht="15.75" customHeight="1">
      <c r="B13" s="231" t="s">
        <v>90</v>
      </c>
      <c r="C13" s="166" t="str">
        <f>"antal semesterdagar"</f>
        <v>antal semesterdagar</v>
      </c>
      <c r="D13" s="234"/>
    </row>
    <row r="14" spans="2:8" ht="15.75" customHeight="1">
      <c r="B14" s="231" t="s">
        <v>91</v>
      </c>
      <c r="C14" s="166" t="str">
        <f>"fjolårets flex-saldo"</f>
        <v>fjolårets flex-saldo</v>
      </c>
      <c r="D14" s="234"/>
    </row>
    <row r="15" spans="2:8" ht="15.75" customHeight="1">
      <c r="B15" s="166" t="s">
        <v>113</v>
      </c>
      <c r="C15" s="166" t="str">
        <f>" på fliken ""Grunddata""!"</f>
        <v xml:space="preserve"> på fliken "Grunddata"!</v>
      </c>
      <c r="D15" s="234"/>
    </row>
    <row r="16" spans="2:8" ht="9.75" customHeight="1">
      <c r="D16" s="234"/>
    </row>
    <row r="17" spans="1:6" s="238" customFormat="1" ht="21.75" customHeight="1">
      <c r="B17" s="235" t="s">
        <v>133</v>
      </c>
      <c r="D17" s="239"/>
      <c r="F17" s="237" t="s">
        <v>160</v>
      </c>
    </row>
    <row r="18" spans="1:6" s="368" customFormat="1" ht="15.75" customHeight="1">
      <c r="B18" s="369" t="s">
        <v>134</v>
      </c>
      <c r="D18" s="370"/>
      <c r="F18" s="368" t="s">
        <v>159</v>
      </c>
    </row>
    <row r="19" spans="1:6" ht="15.75" customHeight="1">
      <c r="B19" s="166" t="s">
        <v>53</v>
      </c>
      <c r="D19" s="234"/>
    </row>
    <row r="20" spans="1:6" ht="15.75" customHeight="1">
      <c r="B20" s="231" t="s">
        <v>47</v>
      </c>
      <c r="C20" s="166" t="str">
        <f>"Du kan inte ta semester/sjukledigt den "</f>
        <v xml:space="preserve">Du kan inte ta semester/sjukledigt den </v>
      </c>
      <c r="D20" s="234"/>
    </row>
    <row r="21" spans="1:6" ht="15.75" customHeight="1">
      <c r="B21" s="231"/>
      <c r="C21" s="231" t="s">
        <v>173</v>
      </c>
      <c r="D21" s="234"/>
    </row>
    <row r="22" spans="1:6" ht="15.75" customHeight="1">
      <c r="B22" s="231" t="s">
        <v>48</v>
      </c>
      <c r="C22" s="166" t="str">
        <f>" (helg eller klämdag)!"</f>
        <v xml:space="preserve"> (helg eller klämdag)!</v>
      </c>
      <c r="D22" s="234"/>
    </row>
    <row r="23" spans="1:6" ht="9.75" customHeight="1"/>
    <row r="24" spans="1:6" s="238" customFormat="1" ht="21.75" customHeight="1">
      <c r="B24" s="235" t="s">
        <v>129</v>
      </c>
    </row>
    <row r="25" spans="1:6" s="368" customFormat="1" ht="15.75" customHeight="1">
      <c r="B25" s="369" t="s">
        <v>45</v>
      </c>
    </row>
    <row r="26" spans="1:6" ht="15.75" customHeight="1">
      <c r="B26" s="166" t="s">
        <v>53</v>
      </c>
    </row>
    <row r="27" spans="1:6" ht="15.75" customHeight="1">
      <c r="A27" s="536" t="str">
        <f>H5</f>
        <v>Flex 99:03E • huk-51 • ©</v>
      </c>
      <c r="B27" s="231" t="s">
        <v>100</v>
      </c>
      <c r="C27" s="166" t="str">
        <f ca="1">"Såväl timme som minut, åtskilda av  "&amp;IF(INFO("system")="mac","PUNKT","KOLON")&amp;",  måste stå i ändringskolumnen!"</f>
        <v>Såväl timme som minut, åtskilda av  KOLON,  måste stå i ändringskolumnen!</v>
      </c>
    </row>
    <row r="28" spans="1:6" ht="15.75" customHeight="1">
      <c r="A28" s="536"/>
      <c r="B28" s="232"/>
      <c r="C28" s="233" t="s">
        <v>46</v>
      </c>
    </row>
    <row r="29" spans="1:6" ht="9.75" customHeight="1">
      <c r="A29" s="536"/>
      <c r="B29" s="230"/>
      <c r="C29" s="233"/>
    </row>
    <row r="30" spans="1:6" s="238" customFormat="1" ht="21.75" customHeight="1">
      <c r="A30" s="537"/>
      <c r="B30" s="235" t="s">
        <v>136</v>
      </c>
      <c r="C30" s="240"/>
    </row>
    <row r="31" spans="1:6" ht="15.75" customHeight="1">
      <c r="A31" s="536"/>
      <c r="B31" s="231" t="s">
        <v>153</v>
      </c>
      <c r="C31" s="513">
        <v>30</v>
      </c>
    </row>
    <row r="32" spans="1:6" ht="15.75" customHeight="1">
      <c r="A32" s="536"/>
      <c r="B32" s="231" t="s">
        <v>128</v>
      </c>
      <c r="C32" s="233" t="str">
        <f>"Du får flytta över max "&amp;flexmax&amp;" tim från juni!"</f>
        <v>Du får flytta över max 30 tim från juni!</v>
      </c>
    </row>
    <row r="33" spans="2:2" ht="20.25" customHeight="1">
      <c r="B33" s="230"/>
    </row>
    <row r="35" spans="2:2">
      <c r="B35" s="450"/>
    </row>
  </sheetData>
  <sheetProtection sheet="1" objects="1" scenarios="1"/>
  <mergeCells count="1">
    <mergeCell ref="A27:A32"/>
  </mergeCells>
  <phoneticPr fontId="0" type="noConversion"/>
  <pageMargins left="0.75" right="0.75" top="1" bottom="1" header="0.5" footer="0.5"/>
  <pageSetup paperSize="9" scale="91" orientation="landscape" horizontalDpi="4294967292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2">
    <tabColor rgb="FFFF0000"/>
  </sheetPr>
  <dimension ref="A1:AM39"/>
  <sheetViews>
    <sheetView showRowColHeaders="0" showZeros="0" topLeftCell="G2" zoomScale="90" zoomScaleNormal="100" workbookViewId="0">
      <selection activeCell="N20" sqref="N20"/>
    </sheetView>
  </sheetViews>
  <sheetFormatPr defaultColWidth="11.3828125" defaultRowHeight="12.45"/>
  <cols>
    <col min="1" max="1" width="2.53515625" style="17" customWidth="1"/>
    <col min="2" max="2" width="0.53515625" style="17" customWidth="1"/>
    <col min="3" max="3" width="3.15234375" style="17" customWidth="1"/>
    <col min="4" max="4" width="8" style="17" customWidth="1"/>
    <col min="5" max="5" width="7.84375" style="17" customWidth="1"/>
    <col min="6" max="6" width="3.15234375" style="17" customWidth="1"/>
    <col min="7" max="8" width="7.84375" style="17" customWidth="1"/>
    <col min="9" max="9" width="3.15234375" style="17" customWidth="1"/>
    <col min="10" max="11" width="7.84375" style="17" customWidth="1"/>
    <col min="12" max="12" width="3.15234375" style="17" customWidth="1"/>
    <col min="13" max="14" width="7.84375" style="17" customWidth="1"/>
    <col min="15" max="15" width="3.15234375" style="17" customWidth="1"/>
    <col min="16" max="17" width="7.84375" style="17" customWidth="1"/>
    <col min="18" max="18" width="3.15234375" style="17" customWidth="1"/>
    <col min="19" max="20" width="7.84375" style="17" customWidth="1"/>
    <col min="21" max="21" width="3.15234375" style="17" customWidth="1"/>
    <col min="22" max="23" width="7.84375" style="17" customWidth="1"/>
    <col min="24" max="24" width="3.15234375" style="17" customWidth="1"/>
    <col min="25" max="26" width="7.84375" style="17" customWidth="1"/>
    <col min="27" max="27" width="3.15234375" style="17" customWidth="1"/>
    <col min="28" max="29" width="7.84375" style="17" customWidth="1"/>
    <col min="30" max="30" width="3.15234375" style="17" customWidth="1"/>
    <col min="31" max="32" width="7.84375" style="17" customWidth="1"/>
    <col min="33" max="33" width="3.15234375" style="17" customWidth="1"/>
    <col min="34" max="35" width="7.84375" style="17" customWidth="1"/>
    <col min="36" max="36" width="3.15234375" style="17" customWidth="1"/>
    <col min="37" max="37" width="7.84375" style="17" customWidth="1"/>
    <col min="38" max="38" width="7.84375" style="125" customWidth="1"/>
    <col min="39" max="16384" width="11.3828125" style="125"/>
  </cols>
  <sheetData>
    <row r="1" spans="1:39" s="121" customFormat="1" ht="25.5" customHeight="1">
      <c r="A1" s="118"/>
      <c r="B1" s="118"/>
      <c r="C1" s="118" t="str">
        <f>"Normtid, helger och klämdagar år  "&amp;årtal</f>
        <v>Normtid, helger och klämdagar år  2024</v>
      </c>
      <c r="D1" s="116"/>
      <c r="E1" s="119"/>
      <c r="F1" s="117"/>
      <c r="G1" s="117"/>
      <c r="H1" s="117"/>
      <c r="I1" s="117"/>
      <c r="J1" s="120"/>
      <c r="K1" s="120"/>
      <c r="L1" s="293" t="s">
        <v>157</v>
      </c>
      <c r="M1" s="120"/>
      <c r="N1" s="120"/>
      <c r="O1" s="120"/>
      <c r="P1" s="117"/>
      <c r="Q1" s="117"/>
      <c r="R1" s="117"/>
      <c r="S1" s="117"/>
      <c r="T1" s="117"/>
      <c r="U1" s="118" t="str">
        <f>C1</f>
        <v>Normtid, helger och klämdagar år  2024</v>
      </c>
      <c r="V1" s="118"/>
      <c r="W1" s="117"/>
      <c r="X1" s="117"/>
      <c r="Y1" s="117"/>
      <c r="Z1" s="117"/>
      <c r="AA1" s="117"/>
      <c r="AC1" s="117"/>
      <c r="AD1" s="293" t="s">
        <v>158</v>
      </c>
      <c r="AE1" s="117"/>
      <c r="AF1" s="117"/>
      <c r="AG1" s="117"/>
      <c r="AH1" s="117"/>
      <c r="AI1" s="117"/>
      <c r="AJ1" s="117"/>
      <c r="AK1" s="117"/>
      <c r="AL1" s="120"/>
      <c r="AM1" s="120"/>
    </row>
    <row r="2" spans="1:39" ht="53.25" customHeight="1">
      <c r="A2" s="122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4"/>
      <c r="Q2" s="124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3"/>
      <c r="AM2" s="123"/>
    </row>
    <row r="3" spans="1:39" s="131" customFormat="1" ht="12.75" customHeight="1">
      <c r="A3" s="126"/>
      <c r="B3" s="126"/>
      <c r="C3" s="126"/>
      <c r="D3" s="127">
        <f>C5</f>
        <v>43830</v>
      </c>
      <c r="E3" s="128"/>
      <c r="F3" s="126"/>
      <c r="G3" s="127">
        <f>F5</f>
        <v>43861</v>
      </c>
      <c r="H3" s="128"/>
      <c r="I3" s="126"/>
      <c r="J3" s="165">
        <f>I5</f>
        <v>43890</v>
      </c>
      <c r="K3" s="128"/>
      <c r="L3" s="126"/>
      <c r="M3" s="127">
        <f>L5</f>
        <v>43921</v>
      </c>
      <c r="N3" s="128"/>
      <c r="O3" s="126"/>
      <c r="P3" s="127">
        <f>O5</f>
        <v>43951</v>
      </c>
      <c r="Q3" s="128"/>
      <c r="R3" s="126"/>
      <c r="S3" s="127">
        <f>R5</f>
        <v>43982</v>
      </c>
      <c r="T3" s="128"/>
      <c r="U3" s="126"/>
      <c r="V3" s="127">
        <f>U5</f>
        <v>44012</v>
      </c>
      <c r="W3" s="128"/>
      <c r="X3" s="126"/>
      <c r="Y3" s="127">
        <f>X5</f>
        <v>44043</v>
      </c>
      <c r="Z3" s="128"/>
      <c r="AA3" s="129"/>
      <c r="AB3" s="127">
        <f>AA5</f>
        <v>44074</v>
      </c>
      <c r="AC3" s="128"/>
      <c r="AD3" s="126"/>
      <c r="AE3" s="127">
        <f>AD5</f>
        <v>44104</v>
      </c>
      <c r="AF3" s="128"/>
      <c r="AG3" s="126"/>
      <c r="AH3" s="127">
        <f>AG5</f>
        <v>44135</v>
      </c>
      <c r="AI3" s="128"/>
      <c r="AJ3" s="126"/>
      <c r="AK3" s="127">
        <f>AJ5</f>
        <v>44165</v>
      </c>
      <c r="AL3" s="130"/>
      <c r="AM3" s="263"/>
    </row>
    <row r="4" spans="1:39" ht="6" customHeight="1">
      <c r="A4" s="122"/>
      <c r="B4" s="122"/>
      <c r="C4" s="132">
        <f>DATE(årtal,1,1)-1</f>
        <v>43829</v>
      </c>
      <c r="D4" s="540"/>
      <c r="E4" s="541"/>
      <c r="F4" s="132">
        <f>DATE(årtal,2,1)-1</f>
        <v>43860</v>
      </c>
      <c r="G4" s="122"/>
      <c r="H4" s="133"/>
      <c r="I4" s="132">
        <f>DATE(årtal,3,1)-1</f>
        <v>43889</v>
      </c>
      <c r="J4" s="122"/>
      <c r="K4" s="133"/>
      <c r="L4" s="132">
        <f>DATE(årtal,4,1)-1</f>
        <v>43920</v>
      </c>
      <c r="M4" s="122"/>
      <c r="N4" s="133"/>
      <c r="O4" s="132">
        <f>DATE(årtal,5,1)-1</f>
        <v>43950</v>
      </c>
      <c r="P4" s="122"/>
      <c r="Q4" s="133"/>
      <c r="R4" s="132">
        <f>DATE(årtal,6,1)-1</f>
        <v>43981</v>
      </c>
      <c r="S4" s="122"/>
      <c r="T4" s="133"/>
      <c r="U4" s="132">
        <f>DATE(årtal,7,1)-1</f>
        <v>44011</v>
      </c>
      <c r="V4" s="122"/>
      <c r="W4" s="133"/>
      <c r="X4" s="132">
        <f>DATE(årtal,8,1)-1</f>
        <v>44042</v>
      </c>
      <c r="Y4" s="122"/>
      <c r="Z4" s="133"/>
      <c r="AA4" s="132">
        <f>DATE(årtal,9,1)-1</f>
        <v>44073</v>
      </c>
      <c r="AB4" s="122"/>
      <c r="AC4" s="133"/>
      <c r="AD4" s="132">
        <f>DATE(årtal,10,1)-1</f>
        <v>44103</v>
      </c>
      <c r="AE4" s="122"/>
      <c r="AF4" s="133"/>
      <c r="AG4" s="132">
        <f>DATE(årtal,11,1)-1</f>
        <v>44134</v>
      </c>
      <c r="AH4" s="122"/>
      <c r="AI4" s="133"/>
      <c r="AJ4" s="132">
        <f>DATE(årtal,12,1)-1</f>
        <v>44164</v>
      </c>
      <c r="AK4" s="122"/>
      <c r="AL4" s="134"/>
      <c r="AM4" s="123"/>
    </row>
    <row r="5" spans="1:39" s="472" customFormat="1" ht="12.75" customHeight="1">
      <c r="A5" s="122"/>
      <c r="B5" s="122"/>
      <c r="C5" s="135">
        <f>C4+1</f>
        <v>43830</v>
      </c>
      <c r="D5" s="136" t="str">
        <f>IF(AND(WEEKDAY(C5)&gt;1,WEEKDAY(C5)&lt;7),IF(ISERROR(VLOOKUP(C5,Fridag!$B$7:$G$40,4,FALSE))=TRUE,normtid,IF(VLOOKUP(C5,Fridag!$B$7:$G$40,4,TRUE)=0,"ej sem",VLOOKUP(C5,Fridag!$B$7:$G$40,4,TRUE)*normtid)),"ej sem")</f>
        <v>ej sem</v>
      </c>
      <c r="E5" s="138" t="str">
        <f>IF(ISERROR(VLOOKUP(C5,Fridag!$B$7:$G$38,5,FALSE))=TRUE,"",VLOOKUP(C5,Fridag!$B$7:$G$38,5,TRUE))</f>
        <v>Nyårsdagen</v>
      </c>
      <c r="F5" s="137">
        <f>F4+1</f>
        <v>43861</v>
      </c>
      <c r="G5" s="136">
        <f>IF(AND(WEEKDAY(F5)&gt;1,WEEKDAY(F5)&lt;7),IF(ISERROR(VLOOKUP(F5,Fridag!$B$7:$G$40,4,FALSE))=TRUE,normtid,IF(VLOOKUP(F5,Fridag!$B$7:$G$40,4,TRUE)=0,"ej sem",VLOOKUP(F5,Fridag!$B$7:$G$40,4,TRUE)*normtid)),"ej sem")</f>
        <v>8</v>
      </c>
      <c r="H5" s="138" t="str">
        <f>IF(ISERROR(VLOOKUP(F5,Fridag!$B$7:$G$38,5,FALSE))=TRUE,"",VLOOKUP(F5,Fridag!$B$7:$G$38,5,TRUE))</f>
        <v/>
      </c>
      <c r="I5" s="137">
        <f>I4+1</f>
        <v>43890</v>
      </c>
      <c r="J5" s="136">
        <f>IF(AND(WEEKDAY(I5)&gt;1,WEEKDAY(I5)&lt;7),IF(ISERROR(VLOOKUP(I5,Fridag!$B$7:$G$40,4,FALSE))=TRUE,normtid,IF(VLOOKUP(I5,Fridag!$B$7:$G$40,4,TRUE)=0,"ej sem",VLOOKUP(I5,Fridag!$B$7:$G$40,4,TRUE)*normtid)),"ej sem")</f>
        <v>8</v>
      </c>
      <c r="K5" s="138" t="str">
        <f>IF(ISERROR(VLOOKUP(I5,Fridag!$B$7:$G$38,5,FALSE))=TRUE,"",VLOOKUP(I5,Fridag!$B$7:$G$38,5,TRUE))</f>
        <v/>
      </c>
      <c r="L5" s="137">
        <f>L4+1</f>
        <v>43921</v>
      </c>
      <c r="M5" s="136" t="str">
        <f>IF(AND(WEEKDAY(L5)&gt;1,WEEKDAY(L5)&lt;7),IF(ISERROR(VLOOKUP(L5,Fridag!$B$7:$G$40,4,FALSE))=TRUE,normtid,IF(VLOOKUP(L5,Fridag!$B$7:$G$40,4,TRUE)=0,"ej sem",VLOOKUP(L5,Fridag!$B$7:$G$40,4,TRUE)*normtid)),"ej sem")</f>
        <v>ej sem</v>
      </c>
      <c r="N5" s="138" t="str">
        <f>IF(ISERROR(VLOOKUP(L5,Fridag!$B$7:$G$38,5,FALSE))=TRUE,"",VLOOKUP(L5,Fridag!$B$7:$G$38,5,TRUE))</f>
        <v>Annandag påsk</v>
      </c>
      <c r="O5" s="137">
        <f>O4+1</f>
        <v>43951</v>
      </c>
      <c r="P5" s="136" t="str">
        <f>IF(AND(WEEKDAY(O5)&gt;1,WEEKDAY(O5)&lt;7),IF(ISERROR(VLOOKUP(O5,Fridag!$B$7:$G$40,4,FALSE))=TRUE,normtid,IF(VLOOKUP(O5,Fridag!$B$7:$G$40,4,TRUE)=0,"ej sem",VLOOKUP(O5,Fridag!$B$7:$G$40,4,TRUE)*normtid)),"ej sem")</f>
        <v>ej sem</v>
      </c>
      <c r="Q5" s="138" t="str">
        <f>IF(ISERROR(VLOOKUP(O5,Fridag!$B$7:$G$38,5,FALSE))=TRUE,"",VLOOKUP(O5,Fridag!$B$7:$G$38,5,TRUE))</f>
        <v>Första maj</v>
      </c>
      <c r="R5" s="137">
        <f>R4+1</f>
        <v>43982</v>
      </c>
      <c r="S5" s="136" t="str">
        <f>IF(AND(WEEKDAY(R5)&gt;1,WEEKDAY(R5)&lt;7),IF(ISERROR(VLOOKUP(R5,Fridag!$B$7:$G$40,4,FALSE))=TRUE,normtid,IF(VLOOKUP(R5,Fridag!$B$7:$G$40,4,TRUE)=0,"ej sem",VLOOKUP(R5,Fridag!$B$7:$G$40,4,TRUE)*normtid)),"ej sem")</f>
        <v>ej sem</v>
      </c>
      <c r="T5" s="138" t="str">
        <f>IF(ISERROR(VLOOKUP(R5,Fridag!$B$7:$G$38,5,FALSE))=TRUE,"",VLOOKUP(R5,Fridag!$B$7:$G$38,5,TRUE))</f>
        <v/>
      </c>
      <c r="U5" s="137">
        <f>U4+1</f>
        <v>44012</v>
      </c>
      <c r="V5" s="136">
        <f>IF(AND(WEEKDAY(U5)&gt;1,WEEKDAY(U5)&lt;7),IF(ISERROR(VLOOKUP(U5,Fridag!$B$7:$G$40,4,FALSE))=TRUE,normtid,IF(VLOOKUP(U5,Fridag!$B$7:$G$40,4,TRUE)=0,"ej sem",VLOOKUP(U5,Fridag!$B$7:$G$40,4,TRUE)*normtid)),"ej sem")</f>
        <v>8</v>
      </c>
      <c r="W5" s="138" t="str">
        <f>IF(ISERROR(VLOOKUP(U5,Fridag!$B$7:$G$38,5,FALSE))=TRUE,"",VLOOKUP(U5,Fridag!$B$7:$G$38,5,TRUE))</f>
        <v/>
      </c>
      <c r="X5" s="137">
        <f>X4+1</f>
        <v>44043</v>
      </c>
      <c r="Y5" s="136">
        <f>IF(AND(WEEKDAY(X5)&gt;1,WEEKDAY(X5)&lt;7),IF(ISERROR(VLOOKUP(X5,Fridag!$B$7:$G$40,4,FALSE))=TRUE,normtid,IF(VLOOKUP(X5,Fridag!$B$7:$G$40,4,TRUE)=0,"ej sem",VLOOKUP(X5,Fridag!$B$7:$G$40,4,TRUE)*normtid)),"ej sem")</f>
        <v>8</v>
      </c>
      <c r="Z5" s="138" t="str">
        <f>IF(ISERROR(VLOOKUP(X5,Fridag!$B$7:$G$38,5,FALSE))=TRUE,"",VLOOKUP(X5,Fridag!$B$7:$G$38,5,TRUE))</f>
        <v/>
      </c>
      <c r="AA5" s="137">
        <f>AA4+1</f>
        <v>44074</v>
      </c>
      <c r="AB5" s="136" t="str">
        <f>IF(AND(WEEKDAY(AA5)&gt;1,WEEKDAY(AA5)&lt;7),IF(ISERROR(VLOOKUP(AA5,Fridag!$B$7:$G$40,4,FALSE))=TRUE,normtid,IF(VLOOKUP(AA5,Fridag!$B$7:$G$40,4,TRUE)=0,"ej sem",VLOOKUP(AA5,Fridag!$B$7:$G$40,4,TRUE)*normtid)),"ej sem")</f>
        <v>ej sem</v>
      </c>
      <c r="AC5" s="138" t="str">
        <f>IF(ISERROR(VLOOKUP(AA5,Fridag!$B$7:$G$38,5,FALSE))=TRUE,"",VLOOKUP(AA5,Fridag!$B$7:$G$38,5,TRUE))</f>
        <v/>
      </c>
      <c r="AD5" s="137">
        <f>AD4+1</f>
        <v>44104</v>
      </c>
      <c r="AE5" s="136">
        <f>IF(AND(WEEKDAY(AD5)&gt;1,WEEKDAY(AD5)&lt;7),IF(ISERROR(VLOOKUP(AD5,Fridag!$B$7:$G$40,4,FALSE))=TRUE,normtid,IF(VLOOKUP(AD5,Fridag!$B$7:$G$40,4,TRUE)=0,"ej sem",VLOOKUP(AD5,Fridag!$B$7:$G$40,4,TRUE)*normtid)),"ej sem")</f>
        <v>8</v>
      </c>
      <c r="AF5" s="138" t="str">
        <f>IF(ISERROR(VLOOKUP(AD5,Fridag!$B$7:$G$38,5,FALSE))=TRUE,"",VLOOKUP(AD5,Fridag!$B$7:$G$38,5,TRUE))</f>
        <v/>
      </c>
      <c r="AG5" s="137">
        <f>AG4+1</f>
        <v>44135</v>
      </c>
      <c r="AH5" s="136">
        <f>IF(AND(WEEKDAY(AG5)&gt;1,WEEKDAY(AG5)&lt;7),IF(ISERROR(VLOOKUP(AG5,Fridag!$B$7:$G$40,4,FALSE))=TRUE,normtid,IF(VLOOKUP(AG5,Fridag!$B$7:$G$40,4,TRUE)=0,"ej sem",VLOOKUP(AG5,Fridag!$B$7:$G$40,4,TRUE)*normtid)),"ej sem")</f>
        <v>4</v>
      </c>
      <c r="AI5" s="138" t="str">
        <f>IF(ISERROR(VLOOKUP(AG5,Fridag!$B$7:$G$38,5,FALSE))=TRUE,"",VLOOKUP(AG5,Fridag!$B$7:$G$38,5,TRUE))</f>
        <v>Dag före Alla Helgons dag</v>
      </c>
      <c r="AJ5" s="137">
        <f>AJ4+1</f>
        <v>44165</v>
      </c>
      <c r="AK5" s="136" t="str">
        <f>IF(AND(WEEKDAY(AJ5)&gt;1,WEEKDAY(AJ5)&lt;7),IF(ISERROR(VLOOKUP(AJ5,Fridag!$B$7:$G$40,4,FALSE))=TRUE,normtid,IF(VLOOKUP(AJ5,Fridag!$B$7:$G$40,4,TRUE)=0,"ej sem",VLOOKUP(AJ5,Fridag!$B$7:$G$40,4,TRUE)*normtid)),"ej sem")</f>
        <v>ej sem</v>
      </c>
      <c r="AL5" s="138" t="str">
        <f>IF(ISERROR(VLOOKUP(AJ5,Fridag!$B$7:$G$38,5,FALSE))=TRUE,"",VLOOKUP(AJ5,Fridag!$B$7:$G$38,5,TRUE))</f>
        <v/>
      </c>
      <c r="AM5" s="471"/>
    </row>
    <row r="6" spans="1:39" s="472" customFormat="1">
      <c r="A6" s="122"/>
      <c r="B6" s="122"/>
      <c r="C6" s="135">
        <f>C5+1</f>
        <v>43831</v>
      </c>
      <c r="D6" s="136">
        <f>IF(AND(WEEKDAY(C6)&gt;1,WEEKDAY(C6)&lt;7),IF(ISERROR(VLOOKUP(C6,Fridag!$B$7:$G$40,4,FALSE))=TRUE,normtid,IF(VLOOKUP(C6,Fridag!$B$7:$G$40,4,TRUE)=0,"ej sem",VLOOKUP(C6,Fridag!$B$7:$G$40,4,TRUE)*normtid)),"ej sem")</f>
        <v>8</v>
      </c>
      <c r="E6" s="138" t="str">
        <f>IF(ISERROR(VLOOKUP(C6,Fridag!$B$7:$G$38,5,FALSE))=TRUE,"",VLOOKUP(C6,Fridag!$B$7:$G$38,5,TRUE))</f>
        <v/>
      </c>
      <c r="F6" s="137">
        <f>F5+1</f>
        <v>43862</v>
      </c>
      <c r="G6" s="136">
        <f>IF(AND(WEEKDAY(F6)&gt;1,WEEKDAY(F6)&lt;7),IF(ISERROR(VLOOKUP(F6,Fridag!$B$7:$G$40,4,FALSE))=TRUE,normtid,IF(VLOOKUP(F6,Fridag!$B$7:$G$40,4,TRUE)=0,"ej sem",VLOOKUP(F6,Fridag!$B$7:$G$40,4,TRUE)*normtid)),"ej sem")</f>
        <v>8</v>
      </c>
      <c r="H6" s="138" t="str">
        <f>IF(ISERROR(VLOOKUP(F6,Fridag!$B$7:$G$38,5,FALSE))=TRUE,"",VLOOKUP(F6,Fridag!$B$7:$G$38,5,TRUE))</f>
        <v/>
      </c>
      <c r="I6" s="137">
        <f>I5+1</f>
        <v>43891</v>
      </c>
      <c r="J6" s="136" t="str">
        <f>IF(AND(WEEKDAY(I6)&gt;1,WEEKDAY(I6)&lt;7),IF(ISERROR(VLOOKUP(I6,Fridag!$B$7:$G$40,4,FALSE))=TRUE,normtid,IF(VLOOKUP(I6,Fridag!$B$7:$G$40,4,TRUE)=0,"ej sem",VLOOKUP(I6,Fridag!$B$7:$G$40,4,TRUE)*normtid)),"ej sem")</f>
        <v>ej sem</v>
      </c>
      <c r="K6" s="138" t="str">
        <f>IF(ISERROR(VLOOKUP(I6,Fridag!$B$7:$G$38,5,FALSE))=TRUE,"",VLOOKUP(I6,Fridag!$B$7:$G$38,5,TRUE))</f>
        <v/>
      </c>
      <c r="L6" s="137">
        <f>L5+1</f>
        <v>43922</v>
      </c>
      <c r="M6" s="136">
        <f>IF(AND(WEEKDAY(L6)&gt;1,WEEKDAY(L6)&lt;7),IF(ISERROR(VLOOKUP(L6,Fridag!$B$7:$G$40,4,FALSE))=TRUE,normtid,IF(VLOOKUP(L6,Fridag!$B$7:$G$40,4,TRUE)=0,"ej sem",VLOOKUP(L6,Fridag!$B$7:$G$40,4,TRUE)*normtid)),"ej sem")</f>
        <v>8</v>
      </c>
      <c r="N6" s="138" t="str">
        <f>IF(ISERROR(VLOOKUP(L6,Fridag!$B$7:$G$38,5,FALSE))=TRUE,"",VLOOKUP(L6,Fridag!$B$7:$G$38,5,TRUE))</f>
        <v/>
      </c>
      <c r="O6" s="137">
        <f>O5+1</f>
        <v>43952</v>
      </c>
      <c r="P6" s="136">
        <f>IF(AND(WEEKDAY(O6)&gt;1,WEEKDAY(O6)&lt;7),IF(ISERROR(VLOOKUP(O6,Fridag!$B$7:$G$40,4,FALSE))=TRUE,normtid,IF(VLOOKUP(O6,Fridag!$B$7:$G$40,4,TRUE)=0,"ej sem",VLOOKUP(O6,Fridag!$B$7:$G$40,4,TRUE)*normtid)),"ej sem")</f>
        <v>8</v>
      </c>
      <c r="Q6" s="138" t="str">
        <f>IF(ISERROR(VLOOKUP(O6,Fridag!$B$7:$G$38,5,FALSE))=TRUE,"",VLOOKUP(O6,Fridag!$B$7:$G$38,5,TRUE))</f>
        <v/>
      </c>
      <c r="R6" s="137">
        <f>R5+1</f>
        <v>43983</v>
      </c>
      <c r="S6" s="136" t="str">
        <f>IF(AND(WEEKDAY(R6)&gt;1,WEEKDAY(R6)&lt;7),IF(ISERROR(VLOOKUP(R6,Fridag!$B$7:$G$40,4,FALSE))=TRUE,normtid,IF(VLOOKUP(R6,Fridag!$B$7:$G$40,4,TRUE)=0,"ej sem",VLOOKUP(R6,Fridag!$B$7:$G$40,4,TRUE)*normtid)),"ej sem")</f>
        <v>ej sem</v>
      </c>
      <c r="T6" s="138" t="str">
        <f>IF(ISERROR(VLOOKUP(R6,Fridag!$B$7:$G$38,5,FALSE))=TRUE,"",VLOOKUP(R6,Fridag!$B$7:$G$38,5,TRUE))</f>
        <v/>
      </c>
      <c r="U6" s="137">
        <f t="shared" ref="U6:U35" si="0">U5+1</f>
        <v>44013</v>
      </c>
      <c r="V6" s="136">
        <f>IF(AND(WEEKDAY(U6)&gt;1,WEEKDAY(U6)&lt;7),IF(ISERROR(VLOOKUP(U6,Fridag!$B$7:$G$40,4,FALSE))=TRUE,normtid,IF(VLOOKUP(U6,Fridag!$B$7:$G$40,4,TRUE)=0,"ej sem",VLOOKUP(U6,Fridag!$B$7:$G$40,4,TRUE)*normtid)),"ej sem")</f>
        <v>8</v>
      </c>
      <c r="W6" s="138" t="str">
        <f>IF(ISERROR(VLOOKUP(U6,Fridag!$B$7:$G$38,5,FALSE))=TRUE,"",VLOOKUP(U6,Fridag!$B$7:$G$38,5,TRUE))</f>
        <v/>
      </c>
      <c r="X6" s="137">
        <f>X5+1</f>
        <v>44044</v>
      </c>
      <c r="Y6" s="136">
        <f>IF(AND(WEEKDAY(X6)&gt;1,WEEKDAY(X6)&lt;7),IF(ISERROR(VLOOKUP(X6,Fridag!$B$7:$G$40,4,FALSE))=TRUE,normtid,IF(VLOOKUP(X6,Fridag!$B$7:$G$40,4,TRUE)=0,"ej sem",VLOOKUP(X6,Fridag!$B$7:$G$40,4,TRUE)*normtid)),"ej sem")</f>
        <v>8</v>
      </c>
      <c r="Z6" s="138" t="str">
        <f>IF(ISERROR(VLOOKUP(X6,Fridag!$B$7:$G$38,5,FALSE))=TRUE,"",VLOOKUP(X6,Fridag!$B$7:$G$38,5,TRUE))</f>
        <v/>
      </c>
      <c r="AA6" s="137">
        <f>AA5+1</f>
        <v>44075</v>
      </c>
      <c r="AB6" s="136">
        <f>IF(AND(WEEKDAY(AA6)&gt;1,WEEKDAY(AA6)&lt;7),IF(ISERROR(VLOOKUP(AA6,Fridag!$B$7:$G$40,4,FALSE))=TRUE,normtid,IF(VLOOKUP(AA6,Fridag!$B$7:$G$40,4,TRUE)=0,"ej sem",VLOOKUP(AA6,Fridag!$B$7:$G$40,4,TRUE)*normtid)),"ej sem")</f>
        <v>8</v>
      </c>
      <c r="AC6" s="138" t="str">
        <f>IF(ISERROR(VLOOKUP(AA6,Fridag!$B$7:$G$38,5,FALSE))=TRUE,"",VLOOKUP(AA6,Fridag!$B$7:$G$38,5,TRUE))</f>
        <v/>
      </c>
      <c r="AD6" s="137">
        <f>AD5+1</f>
        <v>44105</v>
      </c>
      <c r="AE6" s="136">
        <f>IF(AND(WEEKDAY(AD6)&gt;1,WEEKDAY(AD6)&lt;7),IF(ISERROR(VLOOKUP(AD6,Fridag!$B$7:$G$40,4,FALSE))=TRUE,normtid,IF(VLOOKUP(AD6,Fridag!$B$7:$G$40,4,TRUE)=0,"ej sem",VLOOKUP(AD6,Fridag!$B$7:$G$40,4,TRUE)*normtid)),"ej sem")</f>
        <v>8</v>
      </c>
      <c r="AF6" s="138" t="str">
        <f>IF(ISERROR(VLOOKUP(AD6,Fridag!$B$7:$G$38,5,FALSE))=TRUE,"",VLOOKUP(AD6,Fridag!$B$7:$G$38,5,TRUE))</f>
        <v/>
      </c>
      <c r="AG6" s="137">
        <f>AG5+1</f>
        <v>44136</v>
      </c>
      <c r="AH6" s="136" t="str">
        <f>IF(AND(WEEKDAY(AG6)&gt;1,WEEKDAY(AG6)&lt;7),IF(ISERROR(VLOOKUP(AG6,Fridag!$B$7:$G$40,4,FALSE))=TRUE,normtid,IF(VLOOKUP(AG6,Fridag!$B$7:$G$40,4,TRUE)=0,"ej sem",VLOOKUP(AG6,Fridag!$B$7:$G$40,4,TRUE)*normtid)),"ej sem")</f>
        <v>ej sem</v>
      </c>
      <c r="AI6" s="138" t="str">
        <f>IF(ISERROR(VLOOKUP(AG6,Fridag!$B$7:$G$38,5,FALSE))=TRUE,"",VLOOKUP(AG6,Fridag!$B$7:$G$38,5,TRUE))</f>
        <v>Alla helgons dag</v>
      </c>
      <c r="AJ6" s="137">
        <f>AJ5+1</f>
        <v>44166</v>
      </c>
      <c r="AK6" s="136">
        <f>IF(AND(WEEKDAY(AJ6)&gt;1,WEEKDAY(AJ6)&lt;7),IF(ISERROR(VLOOKUP(AJ6,Fridag!$B$7:$G$40,4,FALSE))=TRUE,normtid,IF(VLOOKUP(AJ6,Fridag!$B$7:$G$40,4,TRUE)=0,"ej sem",VLOOKUP(AJ6,Fridag!$B$7:$G$40,4,TRUE)*normtid)),"ej sem")</f>
        <v>8</v>
      </c>
      <c r="AL6" s="138" t="str">
        <f>IF(ISERROR(VLOOKUP(AJ6,Fridag!$B$7:$G$38,5,FALSE))=TRUE,"",VLOOKUP(AJ6,Fridag!$B$7:$G$38,5,TRUE))</f>
        <v/>
      </c>
      <c r="AM6" s="471"/>
    </row>
    <row r="7" spans="1:39" s="472" customFormat="1">
      <c r="A7" s="122"/>
      <c r="B7" s="122"/>
      <c r="C7" s="135">
        <f t="shared" ref="C7:C35" si="1">C6+1</f>
        <v>43832</v>
      </c>
      <c r="D7" s="136">
        <f>IF(AND(WEEKDAY(C7)&gt;1,WEEKDAY(C7)&lt;7),IF(ISERROR(VLOOKUP(C7,Fridag!$B$7:$G$40,4,FALSE))=TRUE,normtid,IF(VLOOKUP(C7,Fridag!$B$7:$G$40,4,TRUE)=0,"ej sem",VLOOKUP(C7,Fridag!$B$7:$G$40,4,TRUE)*normtid)),"ej sem")</f>
        <v>8</v>
      </c>
      <c r="E7" s="138" t="str">
        <f>IF(ISERROR(VLOOKUP(C7,Fridag!$B$7:$G$38,5,FALSE))=TRUE,"",VLOOKUP(C7,Fridag!$B$7:$G$38,5,TRUE))</f>
        <v/>
      </c>
      <c r="F7" s="137">
        <f t="shared" ref="F7:F32" si="2">F6+1</f>
        <v>43863</v>
      </c>
      <c r="G7" s="136" t="str">
        <f>IF(AND(WEEKDAY(F7)&gt;1,WEEKDAY(F7)&lt;7),IF(ISERROR(VLOOKUP(F7,Fridag!$B$7:$G$40,4,FALSE))=TRUE,normtid,IF(VLOOKUP(F7,Fridag!$B$7:$G$40,4,TRUE)=0,"ej sem",VLOOKUP(F7,Fridag!$B$7:$G$40,4,TRUE)*normtid)),"ej sem")</f>
        <v>ej sem</v>
      </c>
      <c r="H7" s="138" t="str">
        <f>IF(ISERROR(VLOOKUP(F7,Fridag!$B$7:$G$38,5,FALSE))=TRUE,"",VLOOKUP(F7,Fridag!$B$7:$G$38,5,TRUE))</f>
        <v/>
      </c>
      <c r="I7" s="137">
        <f t="shared" ref="I7:I35" si="3">I6+1</f>
        <v>43892</v>
      </c>
      <c r="J7" s="136" t="str">
        <f>IF(AND(WEEKDAY(I7)&gt;1,WEEKDAY(I7)&lt;7),IF(ISERROR(VLOOKUP(I7,Fridag!$B$7:$G$40,4,FALSE))=TRUE,normtid,IF(VLOOKUP(I7,Fridag!$B$7:$G$40,4,TRUE)=0,"ej sem",VLOOKUP(I7,Fridag!$B$7:$G$40,4,TRUE)*normtid)),"ej sem")</f>
        <v>ej sem</v>
      </c>
      <c r="K7" s="138" t="str">
        <f>IF(ISERROR(VLOOKUP(I7,Fridag!$B$7:$G$38,5,FALSE))=TRUE,"",VLOOKUP(I7,Fridag!$B$7:$G$38,5,TRUE))</f>
        <v/>
      </c>
      <c r="L7" s="137">
        <f t="shared" ref="L7:L34" si="4">L6+1</f>
        <v>43923</v>
      </c>
      <c r="M7" s="136">
        <f>IF(AND(WEEKDAY(L7)&gt;1,WEEKDAY(L7)&lt;7),IF(ISERROR(VLOOKUP(L7,Fridag!$B$7:$G$40,4,FALSE))=TRUE,normtid,IF(VLOOKUP(L7,Fridag!$B$7:$G$40,4,TRUE)=0,"ej sem",VLOOKUP(L7,Fridag!$B$7:$G$40,4,TRUE)*normtid)),"ej sem")</f>
        <v>8</v>
      </c>
      <c r="N7" s="138" t="str">
        <f>IF(ISERROR(VLOOKUP(L7,Fridag!$B$7:$G$38,5,FALSE))=TRUE,"",VLOOKUP(L7,Fridag!$B$7:$G$38,5,TRUE))</f>
        <v/>
      </c>
      <c r="O7" s="137">
        <f t="shared" ref="O7:O35" si="5">O6+1</f>
        <v>43953</v>
      </c>
      <c r="P7" s="136">
        <f>IF(AND(WEEKDAY(O7)&gt;1,WEEKDAY(O7)&lt;7),IF(ISERROR(VLOOKUP(O7,Fridag!$B$7:$G$40,4,FALSE))=TRUE,normtid,IF(VLOOKUP(O7,Fridag!$B$7:$G$40,4,TRUE)=0,"ej sem",VLOOKUP(O7,Fridag!$B$7:$G$40,4,TRUE)*normtid)),"ej sem")</f>
        <v>8</v>
      </c>
      <c r="Q7" s="138" t="str">
        <f>IF(ISERROR(VLOOKUP(O7,Fridag!$B$7:$G$38,5,FALSE))=TRUE,"",VLOOKUP(O7,Fridag!$B$7:$G$38,5,TRUE))</f>
        <v/>
      </c>
      <c r="R7" s="137">
        <f t="shared" ref="R7:R34" si="6">R6+1</f>
        <v>43984</v>
      </c>
      <c r="S7" s="136">
        <f>IF(AND(WEEKDAY(R7)&gt;1,WEEKDAY(R7)&lt;7),IF(ISERROR(VLOOKUP(R7,Fridag!$B$7:$G$40,4,FALSE))=TRUE,normtid,IF(VLOOKUP(R7,Fridag!$B$7:$G$40,4,TRUE)=0,"ej sem",VLOOKUP(R7,Fridag!$B$7:$G$40,4,TRUE)*normtid)),"ej sem")</f>
        <v>8</v>
      </c>
      <c r="T7" s="138" t="str">
        <f>IF(ISERROR(VLOOKUP(R7,Fridag!$B$7:$G$38,5,FALSE))=TRUE,"",VLOOKUP(R7,Fridag!$B$7:$G$38,5,TRUE))</f>
        <v/>
      </c>
      <c r="U7" s="137">
        <f t="shared" si="0"/>
        <v>44014</v>
      </c>
      <c r="V7" s="136">
        <f>IF(AND(WEEKDAY(U7)&gt;1,WEEKDAY(U7)&lt;7),IF(ISERROR(VLOOKUP(U7,Fridag!$B$7:$G$40,4,FALSE))=TRUE,normtid,IF(VLOOKUP(U7,Fridag!$B$7:$G$40,4,TRUE)=0,"ej sem",VLOOKUP(U7,Fridag!$B$7:$G$40,4,TRUE)*normtid)),"ej sem")</f>
        <v>8</v>
      </c>
      <c r="W7" s="138" t="str">
        <f>IF(ISERROR(VLOOKUP(U7,Fridag!$B$7:$G$38,5,FALSE))=TRUE,"",VLOOKUP(U7,Fridag!$B$7:$G$38,5,TRUE))</f>
        <v/>
      </c>
      <c r="X7" s="137">
        <f t="shared" ref="X7:X35" si="7">X6+1</f>
        <v>44045</v>
      </c>
      <c r="Y7" s="136" t="str">
        <f>IF(AND(WEEKDAY(X7)&gt;1,WEEKDAY(X7)&lt;7),IF(ISERROR(VLOOKUP(X7,Fridag!$B$7:$G$40,4,FALSE))=TRUE,normtid,IF(VLOOKUP(X7,Fridag!$B$7:$G$40,4,TRUE)=0,"ej sem",VLOOKUP(X7,Fridag!$B$7:$G$40,4,TRUE)*normtid)),"ej sem")</f>
        <v>ej sem</v>
      </c>
      <c r="Z7" s="138" t="str">
        <f>IF(ISERROR(VLOOKUP(X7,Fridag!$B$7:$G$38,5,FALSE))=TRUE,"",VLOOKUP(X7,Fridag!$B$7:$G$38,5,TRUE))</f>
        <v/>
      </c>
      <c r="AA7" s="137">
        <f t="shared" ref="AA7:AA34" si="8">AA6+1</f>
        <v>44076</v>
      </c>
      <c r="AB7" s="136">
        <f>IF(AND(WEEKDAY(AA7)&gt;1,WEEKDAY(AA7)&lt;7),IF(ISERROR(VLOOKUP(AA7,Fridag!$B$7:$G$40,4,FALSE))=TRUE,normtid,IF(VLOOKUP(AA7,Fridag!$B$7:$G$40,4,TRUE)=0,"ej sem",VLOOKUP(AA7,Fridag!$B$7:$G$40,4,TRUE)*normtid)),"ej sem")</f>
        <v>8</v>
      </c>
      <c r="AC7" s="138" t="str">
        <f>IF(ISERROR(VLOOKUP(AA7,Fridag!$B$7:$G$38,5,FALSE))=TRUE,"",VLOOKUP(AA7,Fridag!$B$7:$G$38,5,TRUE))</f>
        <v/>
      </c>
      <c r="AD7" s="137">
        <f t="shared" ref="AD7:AD35" si="9">AD6+1</f>
        <v>44106</v>
      </c>
      <c r="AE7" s="136">
        <f>IF(AND(WEEKDAY(AD7)&gt;1,WEEKDAY(AD7)&lt;7),IF(ISERROR(VLOOKUP(AD7,Fridag!$B$7:$G$40,4,FALSE))=TRUE,normtid,IF(VLOOKUP(AD7,Fridag!$B$7:$G$40,4,TRUE)=0,"ej sem",VLOOKUP(AD7,Fridag!$B$7:$G$40,4,TRUE)*normtid)),"ej sem")</f>
        <v>8</v>
      </c>
      <c r="AF7" s="138" t="str">
        <f>IF(ISERROR(VLOOKUP(AD7,Fridag!$B$7:$G$38,5,FALSE))=TRUE,"",VLOOKUP(AD7,Fridag!$B$7:$G$38,5,TRUE))</f>
        <v/>
      </c>
      <c r="AG7" s="137">
        <f t="shared" ref="AG7:AG34" si="10">AG6+1</f>
        <v>44137</v>
      </c>
      <c r="AH7" s="136" t="str">
        <f>IF(AND(WEEKDAY(AG7)&gt;1,WEEKDAY(AG7)&lt;7),IF(ISERROR(VLOOKUP(AG7,Fridag!$B$7:$G$40,4,FALSE))=TRUE,normtid,IF(VLOOKUP(AG7,Fridag!$B$7:$G$40,4,TRUE)=0,"ej sem",VLOOKUP(AG7,Fridag!$B$7:$G$40,4,TRUE)*normtid)),"ej sem")</f>
        <v>ej sem</v>
      </c>
      <c r="AI7" s="138" t="str">
        <f>IF(ISERROR(VLOOKUP(AG7,Fridag!$B$7:$G$38,5,FALSE))=TRUE,"",VLOOKUP(AG7,Fridag!$B$7:$G$38,5,TRUE))</f>
        <v/>
      </c>
      <c r="AJ7" s="137">
        <f t="shared" ref="AJ7:AJ35" si="11">AJ6+1</f>
        <v>44167</v>
      </c>
      <c r="AK7" s="136">
        <f>IF(AND(WEEKDAY(AJ7)&gt;1,WEEKDAY(AJ7)&lt;7),IF(ISERROR(VLOOKUP(AJ7,Fridag!$B$7:$G$40,4,FALSE))=TRUE,normtid,IF(VLOOKUP(AJ7,Fridag!$B$7:$G$40,4,TRUE)=0,"ej sem",VLOOKUP(AJ7,Fridag!$B$7:$G$40,4,TRUE)*normtid)),"ej sem")</f>
        <v>8</v>
      </c>
      <c r="AL7" s="138" t="str">
        <f>IF(ISERROR(VLOOKUP(AJ7,Fridag!$B$7:$G$38,5,FALSE))=TRUE,"",VLOOKUP(AJ7,Fridag!$B$7:$G$38,5,TRUE))</f>
        <v/>
      </c>
      <c r="AM7" s="471"/>
    </row>
    <row r="8" spans="1:39" s="472" customFormat="1">
      <c r="A8" s="122"/>
      <c r="B8" s="122"/>
      <c r="C8" s="135">
        <f t="shared" si="1"/>
        <v>43833</v>
      </c>
      <c r="D8" s="136">
        <f>IF(AND(WEEKDAY(C8)&gt;1,WEEKDAY(C8)&lt;7),IF(ISERROR(VLOOKUP(C8,Fridag!$B$7:$G$40,4,FALSE))=TRUE,normtid,IF(VLOOKUP(C8,Fridag!$B$7:$G$40,4,TRUE)=0,"ej sem",VLOOKUP(C8,Fridag!$B$7:$G$40,4,TRUE)*normtid)),"ej sem")</f>
        <v>8</v>
      </c>
      <c r="E8" s="138" t="str">
        <f>IF(ISERROR(VLOOKUP(C8,Fridag!$B$7:$G$38,5,FALSE))=TRUE,"",VLOOKUP(C8,Fridag!$B$7:$G$38,5,TRUE))</f>
        <v/>
      </c>
      <c r="F8" s="137">
        <f t="shared" si="2"/>
        <v>43864</v>
      </c>
      <c r="G8" s="136" t="str">
        <f>IF(AND(WEEKDAY(F8)&gt;1,WEEKDAY(F8)&lt;7),IF(ISERROR(VLOOKUP(F8,Fridag!$B$7:$G$40,4,FALSE))=TRUE,normtid,IF(VLOOKUP(F8,Fridag!$B$7:$G$40,4,TRUE)=0,"ej sem",VLOOKUP(F8,Fridag!$B$7:$G$40,4,TRUE)*normtid)),"ej sem")</f>
        <v>ej sem</v>
      </c>
      <c r="H8" s="138" t="str">
        <f>IF(ISERROR(VLOOKUP(F8,Fridag!$B$7:$G$38,5,FALSE))=TRUE,"",VLOOKUP(F8,Fridag!$B$7:$G$38,5,TRUE))</f>
        <v/>
      </c>
      <c r="I8" s="137">
        <f t="shared" si="3"/>
        <v>43893</v>
      </c>
      <c r="J8" s="136">
        <f>IF(AND(WEEKDAY(I8)&gt;1,WEEKDAY(I8)&lt;7),IF(ISERROR(VLOOKUP(I8,Fridag!$B$7:$G$40,4,FALSE))=TRUE,normtid,IF(VLOOKUP(I8,Fridag!$B$7:$G$40,4,TRUE)=0,"ej sem",VLOOKUP(I8,Fridag!$B$7:$G$40,4,TRUE)*normtid)),"ej sem")</f>
        <v>8</v>
      </c>
      <c r="K8" s="138" t="str">
        <f>IF(ISERROR(VLOOKUP(I8,Fridag!$B$7:$G$38,5,FALSE))=TRUE,"",VLOOKUP(I8,Fridag!$B$7:$G$38,5,TRUE))</f>
        <v/>
      </c>
      <c r="L8" s="137">
        <f t="shared" si="4"/>
        <v>43924</v>
      </c>
      <c r="M8" s="136">
        <f>IF(AND(WEEKDAY(L8)&gt;1,WEEKDAY(L8)&lt;7),IF(ISERROR(VLOOKUP(L8,Fridag!$B$7:$G$40,4,FALSE))=TRUE,normtid,IF(VLOOKUP(L8,Fridag!$B$7:$G$40,4,TRUE)=0,"ej sem",VLOOKUP(L8,Fridag!$B$7:$G$40,4,TRUE)*normtid)),"ej sem")</f>
        <v>8</v>
      </c>
      <c r="N8" s="138" t="str">
        <f>IF(ISERROR(VLOOKUP(L8,Fridag!$B$7:$G$38,5,FALSE))=TRUE,"",VLOOKUP(L8,Fridag!$B$7:$G$38,5,TRUE))</f>
        <v/>
      </c>
      <c r="O8" s="137">
        <f t="shared" si="5"/>
        <v>43954</v>
      </c>
      <c r="P8" s="136" t="str">
        <f>IF(AND(WEEKDAY(O8)&gt;1,WEEKDAY(O8)&lt;7),IF(ISERROR(VLOOKUP(O8,Fridag!$B$7:$G$40,4,FALSE))=TRUE,normtid,IF(VLOOKUP(O8,Fridag!$B$7:$G$40,4,TRUE)=0,"ej sem",VLOOKUP(O8,Fridag!$B$7:$G$40,4,TRUE)*normtid)),"ej sem")</f>
        <v>ej sem</v>
      </c>
      <c r="Q8" s="138" t="str">
        <f>IF(ISERROR(VLOOKUP(O8,Fridag!$B$7:$G$38,5,FALSE))=TRUE,"",VLOOKUP(O8,Fridag!$B$7:$G$38,5,TRUE))</f>
        <v/>
      </c>
      <c r="R8" s="137">
        <f t="shared" si="6"/>
        <v>43985</v>
      </c>
      <c r="S8" s="136">
        <f>IF(AND(WEEKDAY(R8)&gt;1,WEEKDAY(R8)&lt;7),IF(ISERROR(VLOOKUP(R8,Fridag!$B$7:$G$40,4,FALSE))=TRUE,normtid,IF(VLOOKUP(R8,Fridag!$B$7:$G$40,4,TRUE)=0,"ej sem",VLOOKUP(R8,Fridag!$B$7:$G$40,4,TRUE)*normtid)),"ej sem")</f>
        <v>8</v>
      </c>
      <c r="T8" s="138" t="str">
        <f>IF(ISERROR(VLOOKUP(R8,Fridag!$B$7:$G$38,5,FALSE))=TRUE,"",VLOOKUP(R8,Fridag!$B$7:$G$38,5,TRUE))</f>
        <v/>
      </c>
      <c r="U8" s="137">
        <f t="shared" si="0"/>
        <v>44015</v>
      </c>
      <c r="V8" s="136">
        <f>IF(AND(WEEKDAY(U8)&gt;1,WEEKDAY(U8)&lt;7),IF(ISERROR(VLOOKUP(U8,Fridag!$B$7:$G$40,4,FALSE))=TRUE,normtid,IF(VLOOKUP(U8,Fridag!$B$7:$G$40,4,TRUE)=0,"ej sem",VLOOKUP(U8,Fridag!$B$7:$G$40,4,TRUE)*normtid)),"ej sem")</f>
        <v>8</v>
      </c>
      <c r="W8" s="138" t="str">
        <f>IF(ISERROR(VLOOKUP(U8,Fridag!$B$7:$G$38,5,FALSE))=TRUE,"",VLOOKUP(U8,Fridag!$B$7:$G$38,5,TRUE))</f>
        <v/>
      </c>
      <c r="X8" s="137">
        <f t="shared" si="7"/>
        <v>44046</v>
      </c>
      <c r="Y8" s="136" t="str">
        <f>IF(AND(WEEKDAY(X8)&gt;1,WEEKDAY(X8)&lt;7),IF(ISERROR(VLOOKUP(X8,Fridag!$B$7:$G$40,4,FALSE))=TRUE,normtid,IF(VLOOKUP(X8,Fridag!$B$7:$G$40,4,TRUE)=0,"ej sem",VLOOKUP(X8,Fridag!$B$7:$G$40,4,TRUE)*normtid)),"ej sem")</f>
        <v>ej sem</v>
      </c>
      <c r="Z8" s="138" t="str">
        <f>IF(ISERROR(VLOOKUP(X8,Fridag!$B$7:$G$38,5,FALSE))=TRUE,"",VLOOKUP(X8,Fridag!$B$7:$G$38,5,TRUE))</f>
        <v/>
      </c>
      <c r="AA8" s="137">
        <f t="shared" si="8"/>
        <v>44077</v>
      </c>
      <c r="AB8" s="136">
        <f>IF(AND(WEEKDAY(AA8)&gt;1,WEEKDAY(AA8)&lt;7),IF(ISERROR(VLOOKUP(AA8,Fridag!$B$7:$G$40,4,FALSE))=TRUE,normtid,IF(VLOOKUP(AA8,Fridag!$B$7:$G$40,4,TRUE)=0,"ej sem",VLOOKUP(AA8,Fridag!$B$7:$G$40,4,TRUE)*normtid)),"ej sem")</f>
        <v>8</v>
      </c>
      <c r="AC8" s="138" t="str">
        <f>IF(ISERROR(VLOOKUP(AA8,Fridag!$B$7:$G$38,5,FALSE))=TRUE,"",VLOOKUP(AA8,Fridag!$B$7:$G$38,5,TRUE))</f>
        <v/>
      </c>
      <c r="AD8" s="137">
        <f t="shared" si="9"/>
        <v>44107</v>
      </c>
      <c r="AE8" s="136">
        <f>IF(AND(WEEKDAY(AD8)&gt;1,WEEKDAY(AD8)&lt;7),IF(ISERROR(VLOOKUP(AD8,Fridag!$B$7:$G$40,4,FALSE))=TRUE,normtid,IF(VLOOKUP(AD8,Fridag!$B$7:$G$40,4,TRUE)=0,"ej sem",VLOOKUP(AD8,Fridag!$B$7:$G$40,4,TRUE)*normtid)),"ej sem")</f>
        <v>8</v>
      </c>
      <c r="AF8" s="138" t="str">
        <f>IF(ISERROR(VLOOKUP(AD8,Fridag!$B$7:$G$38,5,FALSE))=TRUE,"",VLOOKUP(AD8,Fridag!$B$7:$G$38,5,TRUE))</f>
        <v/>
      </c>
      <c r="AG8" s="137">
        <f t="shared" si="10"/>
        <v>44138</v>
      </c>
      <c r="AH8" s="136">
        <f>IF(AND(WEEKDAY(AG8)&gt;1,WEEKDAY(AG8)&lt;7),IF(ISERROR(VLOOKUP(AG8,Fridag!$B$7:$G$40,4,FALSE))=TRUE,normtid,IF(VLOOKUP(AG8,Fridag!$B$7:$G$40,4,TRUE)=0,"ej sem",VLOOKUP(AG8,Fridag!$B$7:$G$40,4,TRUE)*normtid)),"ej sem")</f>
        <v>8</v>
      </c>
      <c r="AI8" s="138" t="str">
        <f>IF(ISERROR(VLOOKUP(AG8,Fridag!$B$7:$G$38,5,FALSE))=TRUE,"",VLOOKUP(AG8,Fridag!$B$7:$G$38,5,TRUE))</f>
        <v/>
      </c>
      <c r="AJ8" s="137">
        <f t="shared" si="11"/>
        <v>44168</v>
      </c>
      <c r="AK8" s="136">
        <f>IF(AND(WEEKDAY(AJ8)&gt;1,WEEKDAY(AJ8)&lt;7),IF(ISERROR(VLOOKUP(AJ8,Fridag!$B$7:$G$40,4,FALSE))=TRUE,normtid,IF(VLOOKUP(AJ8,Fridag!$B$7:$G$40,4,TRUE)=0,"ej sem",VLOOKUP(AJ8,Fridag!$B$7:$G$40,4,TRUE)*normtid)),"ej sem")</f>
        <v>8</v>
      </c>
      <c r="AL8" s="138" t="str">
        <f>IF(ISERROR(VLOOKUP(AJ8,Fridag!$B$7:$G$38,5,FALSE))=TRUE,"",VLOOKUP(AJ8,Fridag!$B$7:$G$38,5,TRUE))</f>
        <v/>
      </c>
      <c r="AM8" s="471"/>
    </row>
    <row r="9" spans="1:39" s="472" customFormat="1">
      <c r="A9" s="122"/>
      <c r="B9" s="122"/>
      <c r="C9" s="135">
        <f t="shared" si="1"/>
        <v>43834</v>
      </c>
      <c r="D9" s="136">
        <f>IF(AND(WEEKDAY(C9)&gt;1,WEEKDAY(C9)&lt;7),IF(ISERROR(VLOOKUP(C9,Fridag!$B$7:$G$40,4,FALSE))=TRUE,normtid,IF(VLOOKUP(C9,Fridag!$B$7:$G$40,4,TRUE)=0,"ej sem",VLOOKUP(C9,Fridag!$B$7:$G$40,4,TRUE)*normtid)),"ej sem")</f>
        <v>4</v>
      </c>
      <c r="E9" s="138" t="str">
        <f>IF(ISERROR(VLOOKUP(C9,Fridag!$B$7:$G$38,5,FALSE))=TRUE,"",VLOOKUP(C9,Fridag!$B$7:$G$38,5,TRUE))</f>
        <v>Trettondagsafton</v>
      </c>
      <c r="F9" s="137">
        <f t="shared" si="2"/>
        <v>43865</v>
      </c>
      <c r="G9" s="136">
        <f>IF(AND(WEEKDAY(F9)&gt;1,WEEKDAY(F9)&lt;7),IF(ISERROR(VLOOKUP(F9,Fridag!$B$7:$G$40,4,FALSE))=TRUE,normtid,IF(VLOOKUP(F9,Fridag!$B$7:$G$40,4,TRUE)=0,"ej sem",VLOOKUP(F9,Fridag!$B$7:$G$40,4,TRUE)*normtid)),"ej sem")</f>
        <v>8</v>
      </c>
      <c r="H9" s="138" t="str">
        <f>IF(ISERROR(VLOOKUP(F9,Fridag!$B$7:$G$38,5,FALSE))=TRUE,"",VLOOKUP(F9,Fridag!$B$7:$G$38,5,TRUE))</f>
        <v/>
      </c>
      <c r="I9" s="137">
        <f t="shared" si="3"/>
        <v>43894</v>
      </c>
      <c r="J9" s="136">
        <f>IF(AND(WEEKDAY(I9)&gt;1,WEEKDAY(I9)&lt;7),IF(ISERROR(VLOOKUP(I9,Fridag!$B$7:$G$40,4,FALSE))=TRUE,normtid,IF(VLOOKUP(I9,Fridag!$B$7:$G$40,4,TRUE)=0,"ej sem",VLOOKUP(I9,Fridag!$B$7:$G$40,4,TRUE)*normtid)),"ej sem")</f>
        <v>8</v>
      </c>
      <c r="K9" s="138" t="str">
        <f>IF(ISERROR(VLOOKUP(I9,Fridag!$B$7:$G$38,5,FALSE))=TRUE,"",VLOOKUP(I9,Fridag!$B$7:$G$38,5,TRUE))</f>
        <v/>
      </c>
      <c r="L9" s="137">
        <f t="shared" si="4"/>
        <v>43925</v>
      </c>
      <c r="M9" s="136">
        <f>IF(AND(WEEKDAY(L9)&gt;1,WEEKDAY(L9)&lt;7),IF(ISERROR(VLOOKUP(L9,Fridag!$B$7:$G$40,4,FALSE))=TRUE,normtid,IF(VLOOKUP(L9,Fridag!$B$7:$G$40,4,TRUE)=0,"ej sem",VLOOKUP(L9,Fridag!$B$7:$G$40,4,TRUE)*normtid)),"ej sem")</f>
        <v>8</v>
      </c>
      <c r="N9" s="138" t="str">
        <f>IF(ISERROR(VLOOKUP(L9,Fridag!$B$7:$G$38,5,FALSE))=TRUE,"",VLOOKUP(L9,Fridag!$B$7:$G$38,5,TRUE))</f>
        <v/>
      </c>
      <c r="O9" s="137">
        <f t="shared" si="5"/>
        <v>43955</v>
      </c>
      <c r="P9" s="136" t="str">
        <f>IF(AND(WEEKDAY(O9)&gt;1,WEEKDAY(O9)&lt;7),IF(ISERROR(VLOOKUP(O9,Fridag!$B$7:$G$40,4,FALSE))=TRUE,normtid,IF(VLOOKUP(O9,Fridag!$B$7:$G$40,4,TRUE)=0,"ej sem",VLOOKUP(O9,Fridag!$B$7:$G$40,4,TRUE)*normtid)),"ej sem")</f>
        <v>ej sem</v>
      </c>
      <c r="Q9" s="138" t="str">
        <f>IF(ISERROR(VLOOKUP(O9,Fridag!$B$7:$G$38,5,FALSE))=TRUE,"",VLOOKUP(O9,Fridag!$B$7:$G$38,5,TRUE))</f>
        <v/>
      </c>
      <c r="R9" s="137">
        <f t="shared" si="6"/>
        <v>43986</v>
      </c>
      <c r="S9" s="136">
        <f>IF(AND(WEEKDAY(R9)&gt;1,WEEKDAY(R9)&lt;7),IF(ISERROR(VLOOKUP(R9,Fridag!$B$7:$G$40,4,FALSE))=TRUE,normtid,IF(VLOOKUP(R9,Fridag!$B$7:$G$40,4,TRUE)=0,"ej sem",VLOOKUP(R9,Fridag!$B$7:$G$40,4,TRUE)*normtid)),"ej sem")</f>
        <v>8</v>
      </c>
      <c r="T9" s="138" t="str">
        <f>IF(ISERROR(VLOOKUP(R9,Fridag!$B$7:$G$38,5,FALSE))=TRUE,"",VLOOKUP(R9,Fridag!$B$7:$G$38,5,TRUE))</f>
        <v/>
      </c>
      <c r="U9" s="137">
        <f t="shared" si="0"/>
        <v>44016</v>
      </c>
      <c r="V9" s="136">
        <f>IF(AND(WEEKDAY(U9)&gt;1,WEEKDAY(U9)&lt;7),IF(ISERROR(VLOOKUP(U9,Fridag!$B$7:$G$40,4,FALSE))=TRUE,normtid,IF(VLOOKUP(U9,Fridag!$B$7:$G$40,4,TRUE)=0,"ej sem",VLOOKUP(U9,Fridag!$B$7:$G$40,4,TRUE)*normtid)),"ej sem")</f>
        <v>8</v>
      </c>
      <c r="W9" s="138" t="str">
        <f>IF(ISERROR(VLOOKUP(U9,Fridag!$B$7:$G$38,5,FALSE))=TRUE,"",VLOOKUP(U9,Fridag!$B$7:$G$38,5,TRUE))</f>
        <v/>
      </c>
      <c r="X9" s="137">
        <f t="shared" si="7"/>
        <v>44047</v>
      </c>
      <c r="Y9" s="136">
        <f>IF(AND(WEEKDAY(X9)&gt;1,WEEKDAY(X9)&lt;7),IF(ISERROR(VLOOKUP(X9,Fridag!$B$7:$G$40,4,FALSE))=TRUE,normtid,IF(VLOOKUP(X9,Fridag!$B$7:$G$40,4,TRUE)=0,"ej sem",VLOOKUP(X9,Fridag!$B$7:$G$40,4,TRUE)*normtid)),"ej sem")</f>
        <v>8</v>
      </c>
      <c r="Z9" s="138" t="str">
        <f>IF(ISERROR(VLOOKUP(X9,Fridag!$B$7:$G$38,5,FALSE))=TRUE,"",VLOOKUP(X9,Fridag!$B$7:$G$38,5,TRUE))</f>
        <v/>
      </c>
      <c r="AA9" s="137">
        <f t="shared" si="8"/>
        <v>44078</v>
      </c>
      <c r="AB9" s="136">
        <f>IF(AND(WEEKDAY(AA9)&gt;1,WEEKDAY(AA9)&lt;7),IF(ISERROR(VLOOKUP(AA9,Fridag!$B$7:$G$40,4,FALSE))=TRUE,normtid,IF(VLOOKUP(AA9,Fridag!$B$7:$G$40,4,TRUE)=0,"ej sem",VLOOKUP(AA9,Fridag!$B$7:$G$40,4,TRUE)*normtid)),"ej sem")</f>
        <v>8</v>
      </c>
      <c r="AC9" s="138" t="str">
        <f>IF(ISERROR(VLOOKUP(AA9,Fridag!$B$7:$G$38,5,FALSE))=TRUE,"",VLOOKUP(AA9,Fridag!$B$7:$G$38,5,TRUE))</f>
        <v/>
      </c>
      <c r="AD9" s="137">
        <f t="shared" si="9"/>
        <v>44108</v>
      </c>
      <c r="AE9" s="136" t="str">
        <f>IF(AND(WEEKDAY(AD9)&gt;1,WEEKDAY(AD9)&lt;7),IF(ISERROR(VLOOKUP(AD9,Fridag!$B$7:$G$40,4,FALSE))=TRUE,normtid,IF(VLOOKUP(AD9,Fridag!$B$7:$G$40,4,TRUE)=0,"ej sem",VLOOKUP(AD9,Fridag!$B$7:$G$40,4,TRUE)*normtid)),"ej sem")</f>
        <v>ej sem</v>
      </c>
      <c r="AF9" s="138" t="str">
        <f>IF(ISERROR(VLOOKUP(AD9,Fridag!$B$7:$G$38,5,FALSE))=TRUE,"",VLOOKUP(AD9,Fridag!$B$7:$G$38,5,TRUE))</f>
        <v/>
      </c>
      <c r="AG9" s="137">
        <f t="shared" si="10"/>
        <v>44139</v>
      </c>
      <c r="AH9" s="136">
        <f>IF(AND(WEEKDAY(AG9)&gt;1,WEEKDAY(AG9)&lt;7),IF(ISERROR(VLOOKUP(AG9,Fridag!$B$7:$G$40,4,FALSE))=TRUE,normtid,IF(VLOOKUP(AG9,Fridag!$B$7:$G$40,4,TRUE)=0,"ej sem",VLOOKUP(AG9,Fridag!$B$7:$G$40,4,TRUE)*normtid)),"ej sem")</f>
        <v>8</v>
      </c>
      <c r="AI9" s="138" t="str">
        <f>IF(ISERROR(VLOOKUP(AG9,Fridag!$B$7:$G$38,5,FALSE))=TRUE,"",VLOOKUP(AG9,Fridag!$B$7:$G$38,5,TRUE))</f>
        <v/>
      </c>
      <c r="AJ9" s="137">
        <f t="shared" si="11"/>
        <v>44169</v>
      </c>
      <c r="AK9" s="136">
        <f>IF(AND(WEEKDAY(AJ9)&gt;1,WEEKDAY(AJ9)&lt;7),IF(ISERROR(VLOOKUP(AJ9,Fridag!$B$7:$G$40,4,FALSE))=TRUE,normtid,IF(VLOOKUP(AJ9,Fridag!$B$7:$G$40,4,TRUE)=0,"ej sem",VLOOKUP(AJ9,Fridag!$B$7:$G$40,4,TRUE)*normtid)),"ej sem")</f>
        <v>8</v>
      </c>
      <c r="AL9" s="138" t="str">
        <f>IF(ISERROR(VLOOKUP(AJ9,Fridag!$B$7:$G$38,5,FALSE))=TRUE,"",VLOOKUP(AJ9,Fridag!$B$7:$G$38,5,TRUE))</f>
        <v/>
      </c>
      <c r="AM9" s="471"/>
    </row>
    <row r="10" spans="1:39" s="472" customFormat="1">
      <c r="A10" s="122"/>
      <c r="B10" s="122"/>
      <c r="C10" s="135">
        <f t="shared" si="1"/>
        <v>43835</v>
      </c>
      <c r="D10" s="136" t="str">
        <f>IF(AND(WEEKDAY(C10)&gt;1,WEEKDAY(C10)&lt;7),IF(ISERROR(VLOOKUP(C10,Fridag!$B$7:$G$40,4,FALSE))=TRUE,normtid,IF(VLOOKUP(C10,Fridag!$B$7:$G$40,4,TRUE)=0,"ej sem",VLOOKUP(C10,Fridag!$B$7:$G$40,4,TRUE)*normtid)),"ej sem")</f>
        <v>ej sem</v>
      </c>
      <c r="E10" s="138" t="str">
        <f>IF(ISERROR(VLOOKUP(C10,Fridag!$B$7:$G$38,5,FALSE))=TRUE,"",VLOOKUP(C10,Fridag!$B$7:$G$38,5,TRUE))</f>
        <v>Trettondedag jul</v>
      </c>
      <c r="F10" s="137">
        <f t="shared" si="2"/>
        <v>43866</v>
      </c>
      <c r="G10" s="136">
        <f>IF(AND(WEEKDAY(F10)&gt;1,WEEKDAY(F10)&lt;7),IF(ISERROR(VLOOKUP(F10,Fridag!$B$7:$G$40,4,FALSE))=TRUE,normtid,IF(VLOOKUP(F10,Fridag!$B$7:$G$40,4,TRUE)=0,"ej sem",VLOOKUP(F10,Fridag!$B$7:$G$40,4,TRUE)*normtid)),"ej sem")</f>
        <v>8</v>
      </c>
      <c r="H10" s="138" t="str">
        <f>IF(ISERROR(VLOOKUP(F10,Fridag!$B$7:$G$38,5,FALSE))=TRUE,"",VLOOKUP(F10,Fridag!$B$7:$G$38,5,TRUE))</f>
        <v/>
      </c>
      <c r="I10" s="137">
        <f t="shared" si="3"/>
        <v>43895</v>
      </c>
      <c r="J10" s="136">
        <f>IF(AND(WEEKDAY(I10)&gt;1,WEEKDAY(I10)&lt;7),IF(ISERROR(VLOOKUP(I10,Fridag!$B$7:$G$40,4,FALSE))=TRUE,normtid,IF(VLOOKUP(I10,Fridag!$B$7:$G$40,4,TRUE)=0,"ej sem",VLOOKUP(I10,Fridag!$B$7:$G$40,4,TRUE)*normtid)),"ej sem")</f>
        <v>8</v>
      </c>
      <c r="K10" s="138" t="str">
        <f>IF(ISERROR(VLOOKUP(I10,Fridag!$B$7:$G$38,5,FALSE))=TRUE,"",VLOOKUP(I10,Fridag!$B$7:$G$38,5,TRUE))</f>
        <v/>
      </c>
      <c r="L10" s="137">
        <f t="shared" si="4"/>
        <v>43926</v>
      </c>
      <c r="M10" s="136" t="str">
        <f>IF(AND(WEEKDAY(L10)&gt;1,WEEKDAY(L10)&lt;7),IF(ISERROR(VLOOKUP(L10,Fridag!$B$7:$G$40,4,FALSE))=TRUE,normtid,IF(VLOOKUP(L10,Fridag!$B$7:$G$40,4,TRUE)=0,"ej sem",VLOOKUP(L10,Fridag!$B$7:$G$40,4,TRUE)*normtid)),"ej sem")</f>
        <v>ej sem</v>
      </c>
      <c r="N10" s="138" t="str">
        <f>IF(ISERROR(VLOOKUP(L10,Fridag!$B$7:$G$38,5,FALSE))=TRUE,"",VLOOKUP(L10,Fridag!$B$7:$G$38,5,TRUE))</f>
        <v/>
      </c>
      <c r="O10" s="137">
        <f t="shared" si="5"/>
        <v>43956</v>
      </c>
      <c r="P10" s="136">
        <f>IF(AND(WEEKDAY(O10)&gt;1,WEEKDAY(O10)&lt;7),IF(ISERROR(VLOOKUP(O10,Fridag!$B$7:$G$40,4,FALSE))=TRUE,normtid,IF(VLOOKUP(O10,Fridag!$B$7:$G$40,4,TRUE)=0,"ej sem",VLOOKUP(O10,Fridag!$B$7:$G$40,4,TRUE)*normtid)),"ej sem")</f>
        <v>8</v>
      </c>
      <c r="Q10" s="138" t="str">
        <f>IF(ISERROR(VLOOKUP(O10,Fridag!$B$7:$G$38,5,FALSE))=TRUE,"",VLOOKUP(O10,Fridag!$B$7:$G$38,5,TRUE))</f>
        <v/>
      </c>
      <c r="R10" s="137">
        <f t="shared" si="6"/>
        <v>43987</v>
      </c>
      <c r="S10" s="136" t="str">
        <f>IF(AND(WEEKDAY(R10)&gt;1,WEEKDAY(R10)&lt;7),IF(ISERROR(VLOOKUP(R10,Fridag!$B$7:$G$40,4,FALSE))=TRUE,normtid,IF(VLOOKUP(R10,Fridag!$B$7:$G$40,4,TRUE)=0,"ej sem",VLOOKUP(R10,Fridag!$B$7:$G$40,4,TRUE)*normtid)),"ej sem")</f>
        <v>ej sem</v>
      </c>
      <c r="T10" s="138" t="str">
        <f>IF(ISERROR(VLOOKUP(R10,Fridag!$B$7:$G$38,5,FALSE))=TRUE,"",VLOOKUP(R10,Fridag!$B$7:$G$38,5,TRUE))</f>
        <v>Nationaldagen</v>
      </c>
      <c r="U10" s="137">
        <f t="shared" si="0"/>
        <v>44017</v>
      </c>
      <c r="V10" s="136" t="str">
        <f>IF(AND(WEEKDAY(U10)&gt;1,WEEKDAY(U10)&lt;7),IF(ISERROR(VLOOKUP(U10,Fridag!$B$7:$G$40,4,FALSE))=TRUE,normtid,IF(VLOOKUP(U10,Fridag!$B$7:$G$40,4,TRUE)=0,"ej sem",VLOOKUP(U10,Fridag!$B$7:$G$40,4,TRUE)*normtid)),"ej sem")</f>
        <v>ej sem</v>
      </c>
      <c r="W10" s="138" t="str">
        <f>IF(ISERROR(VLOOKUP(U10,Fridag!$B$7:$G$38,5,FALSE))=TRUE,"",VLOOKUP(U10,Fridag!$B$7:$G$38,5,TRUE))</f>
        <v/>
      </c>
      <c r="X10" s="137">
        <f t="shared" si="7"/>
        <v>44048</v>
      </c>
      <c r="Y10" s="136">
        <f>IF(AND(WEEKDAY(X10)&gt;1,WEEKDAY(X10)&lt;7),IF(ISERROR(VLOOKUP(X10,Fridag!$B$7:$G$40,4,FALSE))=TRUE,normtid,IF(VLOOKUP(X10,Fridag!$B$7:$G$40,4,TRUE)=0,"ej sem",VLOOKUP(X10,Fridag!$B$7:$G$40,4,TRUE)*normtid)),"ej sem")</f>
        <v>8</v>
      </c>
      <c r="Z10" s="138" t="str">
        <f>IF(ISERROR(VLOOKUP(X10,Fridag!$B$7:$G$38,5,FALSE))=TRUE,"",VLOOKUP(X10,Fridag!$B$7:$G$38,5,TRUE))</f>
        <v/>
      </c>
      <c r="AA10" s="137">
        <f t="shared" si="8"/>
        <v>44079</v>
      </c>
      <c r="AB10" s="136">
        <f>IF(AND(WEEKDAY(AA10)&gt;1,WEEKDAY(AA10)&lt;7),IF(ISERROR(VLOOKUP(AA10,Fridag!$B$7:$G$40,4,FALSE))=TRUE,normtid,IF(VLOOKUP(AA10,Fridag!$B$7:$G$40,4,TRUE)=0,"ej sem",VLOOKUP(AA10,Fridag!$B$7:$G$40,4,TRUE)*normtid)),"ej sem")</f>
        <v>8</v>
      </c>
      <c r="AC10" s="138" t="str">
        <f>IF(ISERROR(VLOOKUP(AA10,Fridag!$B$7:$G$38,5,FALSE))=TRUE,"",VLOOKUP(AA10,Fridag!$B$7:$G$38,5,TRUE))</f>
        <v/>
      </c>
      <c r="AD10" s="137">
        <f t="shared" si="9"/>
        <v>44109</v>
      </c>
      <c r="AE10" s="136" t="str">
        <f>IF(AND(WEEKDAY(AD10)&gt;1,WEEKDAY(AD10)&lt;7),IF(ISERROR(VLOOKUP(AD10,Fridag!$B$7:$G$40,4,FALSE))=TRUE,normtid,IF(VLOOKUP(AD10,Fridag!$B$7:$G$40,4,TRUE)=0,"ej sem",VLOOKUP(AD10,Fridag!$B$7:$G$40,4,TRUE)*normtid)),"ej sem")</f>
        <v>ej sem</v>
      </c>
      <c r="AF10" s="138" t="str">
        <f>IF(ISERROR(VLOOKUP(AD10,Fridag!$B$7:$G$38,5,FALSE))=TRUE,"",VLOOKUP(AD10,Fridag!$B$7:$G$38,5,TRUE))</f>
        <v/>
      </c>
      <c r="AG10" s="137">
        <f t="shared" si="10"/>
        <v>44140</v>
      </c>
      <c r="AH10" s="136">
        <f>IF(AND(WEEKDAY(AG10)&gt;1,WEEKDAY(AG10)&lt;7),IF(ISERROR(VLOOKUP(AG10,Fridag!$B$7:$G$40,4,FALSE))=TRUE,normtid,IF(VLOOKUP(AG10,Fridag!$B$7:$G$40,4,TRUE)=0,"ej sem",VLOOKUP(AG10,Fridag!$B$7:$G$40,4,TRUE)*normtid)),"ej sem")</f>
        <v>8</v>
      </c>
      <c r="AI10" s="138" t="str">
        <f>IF(ISERROR(VLOOKUP(AG10,Fridag!$B$7:$G$38,5,FALSE))=TRUE,"",VLOOKUP(AG10,Fridag!$B$7:$G$38,5,TRUE))</f>
        <v/>
      </c>
      <c r="AJ10" s="137">
        <f t="shared" si="11"/>
        <v>44170</v>
      </c>
      <c r="AK10" s="136">
        <f>IF(AND(WEEKDAY(AJ10)&gt;1,WEEKDAY(AJ10)&lt;7),IF(ISERROR(VLOOKUP(AJ10,Fridag!$B$7:$G$40,4,FALSE))=TRUE,normtid,IF(VLOOKUP(AJ10,Fridag!$B$7:$G$40,4,TRUE)=0,"ej sem",VLOOKUP(AJ10,Fridag!$B$7:$G$40,4,TRUE)*normtid)),"ej sem")</f>
        <v>8</v>
      </c>
      <c r="AL10" s="138" t="str">
        <f>IF(ISERROR(VLOOKUP(AJ10,Fridag!$B$7:$G$38,5,FALSE))=TRUE,"",VLOOKUP(AJ10,Fridag!$B$7:$G$38,5,TRUE))</f>
        <v/>
      </c>
      <c r="AM10" s="471"/>
    </row>
    <row r="11" spans="1:39" s="472" customFormat="1">
      <c r="A11" s="122"/>
      <c r="B11" s="122"/>
      <c r="C11" s="135">
        <f t="shared" si="1"/>
        <v>43836</v>
      </c>
      <c r="D11" s="136" t="str">
        <f>IF(AND(WEEKDAY(C11)&gt;1,WEEKDAY(C11)&lt;7),IF(ISERROR(VLOOKUP(C11,Fridag!$B$7:$G$40,4,FALSE))=TRUE,normtid,IF(VLOOKUP(C11,Fridag!$B$7:$G$40,4,TRUE)=0,"ej sem",VLOOKUP(C11,Fridag!$B$7:$G$40,4,TRUE)*normtid)),"ej sem")</f>
        <v>ej sem</v>
      </c>
      <c r="E11" s="138" t="str">
        <f>IF(ISERROR(VLOOKUP(C11,Fridag!$B$7:$G$38,5,FALSE))=TRUE,"",VLOOKUP(C11,Fridag!$B$7:$G$38,5,TRUE))</f>
        <v/>
      </c>
      <c r="F11" s="137">
        <f t="shared" si="2"/>
        <v>43867</v>
      </c>
      <c r="G11" s="136">
        <f>IF(AND(WEEKDAY(F11)&gt;1,WEEKDAY(F11)&lt;7),IF(ISERROR(VLOOKUP(F11,Fridag!$B$7:$G$40,4,FALSE))=TRUE,normtid,IF(VLOOKUP(F11,Fridag!$B$7:$G$40,4,TRUE)=0,"ej sem",VLOOKUP(F11,Fridag!$B$7:$G$40,4,TRUE)*normtid)),"ej sem")</f>
        <v>8</v>
      </c>
      <c r="H11" s="138" t="str">
        <f>IF(ISERROR(VLOOKUP(F11,Fridag!$B$7:$G$38,5,FALSE))=TRUE,"",VLOOKUP(F11,Fridag!$B$7:$G$38,5,TRUE))</f>
        <v/>
      </c>
      <c r="I11" s="137">
        <f t="shared" si="3"/>
        <v>43896</v>
      </c>
      <c r="J11" s="136">
        <f>IF(AND(WEEKDAY(I11)&gt;1,WEEKDAY(I11)&lt;7),IF(ISERROR(VLOOKUP(I11,Fridag!$B$7:$G$40,4,FALSE))=TRUE,normtid,IF(VLOOKUP(I11,Fridag!$B$7:$G$40,4,TRUE)=0,"ej sem",VLOOKUP(I11,Fridag!$B$7:$G$40,4,TRUE)*normtid)),"ej sem")</f>
        <v>8</v>
      </c>
      <c r="K11" s="138" t="str">
        <f>IF(ISERROR(VLOOKUP(I11,Fridag!$B$7:$G$38,5,FALSE))=TRUE,"",VLOOKUP(I11,Fridag!$B$7:$G$38,5,TRUE))</f>
        <v/>
      </c>
      <c r="L11" s="137">
        <f t="shared" si="4"/>
        <v>43927</v>
      </c>
      <c r="M11" s="136" t="str">
        <f>IF(AND(WEEKDAY(L11)&gt;1,WEEKDAY(L11)&lt;7),IF(ISERROR(VLOOKUP(L11,Fridag!$B$7:$G$40,4,FALSE))=TRUE,normtid,IF(VLOOKUP(L11,Fridag!$B$7:$G$40,4,TRUE)=0,"ej sem",VLOOKUP(L11,Fridag!$B$7:$G$40,4,TRUE)*normtid)),"ej sem")</f>
        <v>ej sem</v>
      </c>
      <c r="N11" s="138" t="str">
        <f>IF(ISERROR(VLOOKUP(L11,Fridag!$B$7:$G$38,5,FALSE))=TRUE,"",VLOOKUP(L11,Fridag!$B$7:$G$38,5,TRUE))</f>
        <v/>
      </c>
      <c r="O11" s="137">
        <f t="shared" si="5"/>
        <v>43957</v>
      </c>
      <c r="P11" s="136">
        <f>IF(AND(WEEKDAY(O11)&gt;1,WEEKDAY(O11)&lt;7),IF(ISERROR(VLOOKUP(O11,Fridag!$B$7:$G$40,4,FALSE))=TRUE,normtid,IF(VLOOKUP(O11,Fridag!$B$7:$G$40,4,TRUE)=0,"ej sem",VLOOKUP(O11,Fridag!$B$7:$G$40,4,TRUE)*normtid)),"ej sem")</f>
        <v>8</v>
      </c>
      <c r="Q11" s="138" t="str">
        <f>IF(ISERROR(VLOOKUP(O11,Fridag!$B$7:$G$38,5,FALSE))=TRUE,"",VLOOKUP(O11,Fridag!$B$7:$G$38,5,TRUE))</f>
        <v/>
      </c>
      <c r="R11" s="137">
        <f t="shared" si="6"/>
        <v>43988</v>
      </c>
      <c r="S11" s="136" t="str">
        <f>IF(AND(WEEKDAY(R11)&gt;1,WEEKDAY(R11)&lt;7),IF(ISERROR(VLOOKUP(R11,Fridag!$B$7:$G$40,4,FALSE))=TRUE,normtid,IF(VLOOKUP(R11,Fridag!$B$7:$G$40,4,TRUE)=0,"ej sem",VLOOKUP(R11,Fridag!$B$7:$G$40,4,TRUE)*normtid)),"ej sem")</f>
        <v>ej sem</v>
      </c>
      <c r="T11" s="138" t="str">
        <f>IF(ISERROR(VLOOKUP(R11,Fridag!$B$7:$G$38,5,FALSE))=TRUE,"",VLOOKUP(R11,Fridag!$B$7:$G$38,5,TRUE))</f>
        <v>Klämdag</v>
      </c>
      <c r="U11" s="137">
        <f t="shared" si="0"/>
        <v>44018</v>
      </c>
      <c r="V11" s="136" t="str">
        <f>IF(AND(WEEKDAY(U11)&gt;1,WEEKDAY(U11)&lt;7),IF(ISERROR(VLOOKUP(U11,Fridag!$B$7:$G$40,4,FALSE))=TRUE,normtid,IF(VLOOKUP(U11,Fridag!$B$7:$G$40,4,TRUE)=0,"ej sem",VLOOKUP(U11,Fridag!$B$7:$G$40,4,TRUE)*normtid)),"ej sem")</f>
        <v>ej sem</v>
      </c>
      <c r="W11" s="138" t="str">
        <f>IF(ISERROR(VLOOKUP(U11,Fridag!$B$7:$G$38,5,FALSE))=TRUE,"",VLOOKUP(U11,Fridag!$B$7:$G$38,5,TRUE))</f>
        <v/>
      </c>
      <c r="X11" s="137">
        <f t="shared" si="7"/>
        <v>44049</v>
      </c>
      <c r="Y11" s="136">
        <f>IF(AND(WEEKDAY(X11)&gt;1,WEEKDAY(X11)&lt;7),IF(ISERROR(VLOOKUP(X11,Fridag!$B$7:$G$40,4,FALSE))=TRUE,normtid,IF(VLOOKUP(X11,Fridag!$B$7:$G$40,4,TRUE)=0,"ej sem",VLOOKUP(X11,Fridag!$B$7:$G$40,4,TRUE)*normtid)),"ej sem")</f>
        <v>8</v>
      </c>
      <c r="Z11" s="138" t="str">
        <f>IF(ISERROR(VLOOKUP(X11,Fridag!$B$7:$G$38,5,FALSE))=TRUE,"",VLOOKUP(X11,Fridag!$B$7:$G$38,5,TRUE))</f>
        <v/>
      </c>
      <c r="AA11" s="137">
        <f t="shared" si="8"/>
        <v>44080</v>
      </c>
      <c r="AB11" s="136" t="str">
        <f>IF(AND(WEEKDAY(AA11)&gt;1,WEEKDAY(AA11)&lt;7),IF(ISERROR(VLOOKUP(AA11,Fridag!$B$7:$G$40,4,FALSE))=TRUE,normtid,IF(VLOOKUP(AA11,Fridag!$B$7:$G$40,4,TRUE)=0,"ej sem",VLOOKUP(AA11,Fridag!$B$7:$G$40,4,TRUE)*normtid)),"ej sem")</f>
        <v>ej sem</v>
      </c>
      <c r="AC11" s="138" t="str">
        <f>IF(ISERROR(VLOOKUP(AA11,Fridag!$B$7:$G$38,5,FALSE))=TRUE,"",VLOOKUP(AA11,Fridag!$B$7:$G$38,5,TRUE))</f>
        <v/>
      </c>
      <c r="AD11" s="137">
        <f t="shared" si="9"/>
        <v>44110</v>
      </c>
      <c r="AE11" s="136">
        <f>IF(AND(WEEKDAY(AD11)&gt;1,WEEKDAY(AD11)&lt;7),IF(ISERROR(VLOOKUP(AD11,Fridag!$B$7:$G$40,4,FALSE))=TRUE,normtid,IF(VLOOKUP(AD11,Fridag!$B$7:$G$40,4,TRUE)=0,"ej sem",VLOOKUP(AD11,Fridag!$B$7:$G$40,4,TRUE)*normtid)),"ej sem")</f>
        <v>8</v>
      </c>
      <c r="AF11" s="138" t="str">
        <f>IF(ISERROR(VLOOKUP(AD11,Fridag!$B$7:$G$38,5,FALSE))=TRUE,"",VLOOKUP(AD11,Fridag!$B$7:$G$38,5,TRUE))</f>
        <v/>
      </c>
      <c r="AG11" s="137">
        <f t="shared" si="10"/>
        <v>44141</v>
      </c>
      <c r="AH11" s="136">
        <f>IF(AND(WEEKDAY(AG11)&gt;1,WEEKDAY(AG11)&lt;7),IF(ISERROR(VLOOKUP(AG11,Fridag!$B$7:$G$40,4,FALSE))=TRUE,normtid,IF(VLOOKUP(AG11,Fridag!$B$7:$G$40,4,TRUE)=0,"ej sem",VLOOKUP(AG11,Fridag!$B$7:$G$40,4,TRUE)*normtid)),"ej sem")</f>
        <v>8</v>
      </c>
      <c r="AI11" s="138" t="str">
        <f>IF(ISERROR(VLOOKUP(AG11,Fridag!$B$7:$G$38,5,FALSE))=TRUE,"",VLOOKUP(AG11,Fridag!$B$7:$G$38,5,TRUE))</f>
        <v/>
      </c>
      <c r="AJ11" s="137">
        <f t="shared" si="11"/>
        <v>44171</v>
      </c>
      <c r="AK11" s="136" t="str">
        <f>IF(AND(WEEKDAY(AJ11)&gt;1,WEEKDAY(AJ11)&lt;7),IF(ISERROR(VLOOKUP(AJ11,Fridag!$B$7:$G$40,4,FALSE))=TRUE,normtid,IF(VLOOKUP(AJ11,Fridag!$B$7:$G$40,4,TRUE)=0,"ej sem",VLOOKUP(AJ11,Fridag!$B$7:$G$40,4,TRUE)*normtid)),"ej sem")</f>
        <v>ej sem</v>
      </c>
      <c r="AL11" s="138" t="str">
        <f>IF(ISERROR(VLOOKUP(AJ11,Fridag!$B$7:$G$38,5,FALSE))=TRUE,"",VLOOKUP(AJ11,Fridag!$B$7:$G$38,5,TRUE))</f>
        <v/>
      </c>
      <c r="AM11" s="471"/>
    </row>
    <row r="12" spans="1:39" s="472" customFormat="1">
      <c r="A12" s="122"/>
      <c r="B12" s="122"/>
      <c r="C12" s="135">
        <f t="shared" si="1"/>
        <v>43837</v>
      </c>
      <c r="D12" s="136">
        <f>IF(AND(WEEKDAY(C12)&gt;1,WEEKDAY(C12)&lt;7),IF(ISERROR(VLOOKUP(C12,Fridag!$B$7:$G$40,4,FALSE))=TRUE,normtid,IF(VLOOKUP(C12,Fridag!$B$7:$G$40,4,TRUE)=0,"ej sem",VLOOKUP(C12,Fridag!$B$7:$G$40,4,TRUE)*normtid)),"ej sem")</f>
        <v>8</v>
      </c>
      <c r="E12" s="138" t="str">
        <f>IF(ISERROR(VLOOKUP(C12,Fridag!$B$7:$G$38,5,FALSE))=TRUE,"",VLOOKUP(C12,Fridag!$B$7:$G$38,5,TRUE))</f>
        <v/>
      </c>
      <c r="F12" s="137">
        <f t="shared" si="2"/>
        <v>43868</v>
      </c>
      <c r="G12" s="136">
        <f>IF(AND(WEEKDAY(F12)&gt;1,WEEKDAY(F12)&lt;7),IF(ISERROR(VLOOKUP(F12,Fridag!$B$7:$G$40,4,FALSE))=TRUE,normtid,IF(VLOOKUP(F12,Fridag!$B$7:$G$40,4,TRUE)=0,"ej sem",VLOOKUP(F12,Fridag!$B$7:$G$40,4,TRUE)*normtid)),"ej sem")</f>
        <v>8</v>
      </c>
      <c r="H12" s="138" t="str">
        <f>IF(ISERROR(VLOOKUP(F12,Fridag!$B$7:$G$38,5,FALSE))=TRUE,"",VLOOKUP(F12,Fridag!$B$7:$G$38,5,TRUE))</f>
        <v/>
      </c>
      <c r="I12" s="137">
        <f t="shared" si="3"/>
        <v>43897</v>
      </c>
      <c r="J12" s="136">
        <f>IF(AND(WEEKDAY(I12)&gt;1,WEEKDAY(I12)&lt;7),IF(ISERROR(VLOOKUP(I12,Fridag!$B$7:$G$40,4,FALSE))=TRUE,normtid,IF(VLOOKUP(I12,Fridag!$B$7:$G$40,4,TRUE)=0,"ej sem",VLOOKUP(I12,Fridag!$B$7:$G$40,4,TRUE)*normtid)),"ej sem")</f>
        <v>8</v>
      </c>
      <c r="K12" s="138" t="str">
        <f>IF(ISERROR(VLOOKUP(I12,Fridag!$B$7:$G$38,5,FALSE))=TRUE,"",VLOOKUP(I12,Fridag!$B$7:$G$38,5,TRUE))</f>
        <v/>
      </c>
      <c r="L12" s="137">
        <f t="shared" si="4"/>
        <v>43928</v>
      </c>
      <c r="M12" s="136">
        <f>IF(AND(WEEKDAY(L12)&gt;1,WEEKDAY(L12)&lt;7),IF(ISERROR(VLOOKUP(L12,Fridag!$B$7:$G$40,4,FALSE))=TRUE,normtid,IF(VLOOKUP(L12,Fridag!$B$7:$G$40,4,TRUE)=0,"ej sem",VLOOKUP(L12,Fridag!$B$7:$G$40,4,TRUE)*normtid)),"ej sem")</f>
        <v>8</v>
      </c>
      <c r="N12" s="138" t="str">
        <f>IF(ISERROR(VLOOKUP(L12,Fridag!$B$7:$G$38,5,FALSE))=TRUE,"",VLOOKUP(L12,Fridag!$B$7:$G$38,5,TRUE))</f>
        <v/>
      </c>
      <c r="O12" s="137">
        <f t="shared" si="5"/>
        <v>43958</v>
      </c>
      <c r="P12" s="136">
        <f>IF(AND(WEEKDAY(O12)&gt;1,WEEKDAY(O12)&lt;7),IF(ISERROR(VLOOKUP(O12,Fridag!$B$7:$G$40,4,FALSE))=TRUE,normtid,IF(VLOOKUP(O12,Fridag!$B$7:$G$40,4,TRUE)=0,"ej sem",VLOOKUP(O12,Fridag!$B$7:$G$40,4,TRUE)*normtid)),"ej sem")</f>
        <v>8</v>
      </c>
      <c r="Q12" s="138" t="str">
        <f>IF(ISERROR(VLOOKUP(O12,Fridag!$B$7:$G$38,5,FALSE))=TRUE,"",VLOOKUP(O12,Fridag!$B$7:$G$38,5,TRUE))</f>
        <v/>
      </c>
      <c r="R12" s="137">
        <f t="shared" si="6"/>
        <v>43989</v>
      </c>
      <c r="S12" s="136" t="str">
        <f>IF(AND(WEEKDAY(R12)&gt;1,WEEKDAY(R12)&lt;7),IF(ISERROR(VLOOKUP(R12,Fridag!$B$7:$G$40,4,FALSE))=TRUE,normtid,IF(VLOOKUP(R12,Fridag!$B$7:$G$40,4,TRUE)=0,"ej sem",VLOOKUP(R12,Fridag!$B$7:$G$40,4,TRUE)*normtid)),"ej sem")</f>
        <v>ej sem</v>
      </c>
      <c r="T12" s="138" t="str">
        <f>IF(ISERROR(VLOOKUP(R12,Fridag!$B$7:$G$38,5,FALSE))=TRUE,"",VLOOKUP(R12,Fridag!$B$7:$G$38,5,TRUE))</f>
        <v/>
      </c>
      <c r="U12" s="137">
        <f t="shared" si="0"/>
        <v>44019</v>
      </c>
      <c r="V12" s="136">
        <f>IF(AND(WEEKDAY(U12)&gt;1,WEEKDAY(U12)&lt;7),IF(ISERROR(VLOOKUP(U12,Fridag!$B$7:$G$40,4,FALSE))=TRUE,normtid,IF(VLOOKUP(U12,Fridag!$B$7:$G$40,4,TRUE)=0,"ej sem",VLOOKUP(U12,Fridag!$B$7:$G$40,4,TRUE)*normtid)),"ej sem")</f>
        <v>8</v>
      </c>
      <c r="W12" s="138" t="str">
        <f>IF(ISERROR(VLOOKUP(U12,Fridag!$B$7:$G$38,5,FALSE))=TRUE,"",VLOOKUP(U12,Fridag!$B$7:$G$38,5,TRUE))</f>
        <v/>
      </c>
      <c r="X12" s="137">
        <f t="shared" si="7"/>
        <v>44050</v>
      </c>
      <c r="Y12" s="136">
        <f>IF(AND(WEEKDAY(X12)&gt;1,WEEKDAY(X12)&lt;7),IF(ISERROR(VLOOKUP(X12,Fridag!$B$7:$G$40,4,FALSE))=TRUE,normtid,IF(VLOOKUP(X12,Fridag!$B$7:$G$40,4,TRUE)=0,"ej sem",VLOOKUP(X12,Fridag!$B$7:$G$40,4,TRUE)*normtid)),"ej sem")</f>
        <v>8</v>
      </c>
      <c r="Z12" s="138" t="str">
        <f>IF(ISERROR(VLOOKUP(X12,Fridag!$B$7:$G$38,5,FALSE))=TRUE,"",VLOOKUP(X12,Fridag!$B$7:$G$38,5,TRUE))</f>
        <v/>
      </c>
      <c r="AA12" s="137">
        <f t="shared" si="8"/>
        <v>44081</v>
      </c>
      <c r="AB12" s="136" t="str">
        <f>IF(AND(WEEKDAY(AA12)&gt;1,WEEKDAY(AA12)&lt;7),IF(ISERROR(VLOOKUP(AA12,Fridag!$B$7:$G$40,4,FALSE))=TRUE,normtid,IF(VLOOKUP(AA12,Fridag!$B$7:$G$40,4,TRUE)=0,"ej sem",VLOOKUP(AA12,Fridag!$B$7:$G$40,4,TRUE)*normtid)),"ej sem")</f>
        <v>ej sem</v>
      </c>
      <c r="AC12" s="138" t="str">
        <f>IF(ISERROR(VLOOKUP(AA12,Fridag!$B$7:$G$38,5,FALSE))=TRUE,"",VLOOKUP(AA12,Fridag!$B$7:$G$38,5,TRUE))</f>
        <v/>
      </c>
      <c r="AD12" s="137">
        <f t="shared" si="9"/>
        <v>44111</v>
      </c>
      <c r="AE12" s="136">
        <f>IF(AND(WEEKDAY(AD12)&gt;1,WEEKDAY(AD12)&lt;7),IF(ISERROR(VLOOKUP(AD12,Fridag!$B$7:$G$40,4,FALSE))=TRUE,normtid,IF(VLOOKUP(AD12,Fridag!$B$7:$G$40,4,TRUE)=0,"ej sem",VLOOKUP(AD12,Fridag!$B$7:$G$40,4,TRUE)*normtid)),"ej sem")</f>
        <v>8</v>
      </c>
      <c r="AF12" s="138" t="str">
        <f>IF(ISERROR(VLOOKUP(AD12,Fridag!$B$7:$G$38,5,FALSE))=TRUE,"",VLOOKUP(AD12,Fridag!$B$7:$G$38,5,TRUE))</f>
        <v/>
      </c>
      <c r="AG12" s="137">
        <f t="shared" si="10"/>
        <v>44142</v>
      </c>
      <c r="AH12" s="136">
        <f>IF(AND(WEEKDAY(AG12)&gt;1,WEEKDAY(AG12)&lt;7),IF(ISERROR(VLOOKUP(AG12,Fridag!$B$7:$G$40,4,FALSE))=TRUE,normtid,IF(VLOOKUP(AG12,Fridag!$B$7:$G$40,4,TRUE)=0,"ej sem",VLOOKUP(AG12,Fridag!$B$7:$G$40,4,TRUE)*normtid)),"ej sem")</f>
        <v>8</v>
      </c>
      <c r="AI12" s="138" t="str">
        <f>IF(ISERROR(VLOOKUP(AG12,Fridag!$B$7:$G$38,5,FALSE))=TRUE,"",VLOOKUP(AG12,Fridag!$B$7:$G$38,5,TRUE))</f>
        <v/>
      </c>
      <c r="AJ12" s="137">
        <f t="shared" si="11"/>
        <v>44172</v>
      </c>
      <c r="AK12" s="136" t="str">
        <f>IF(AND(WEEKDAY(AJ12)&gt;1,WEEKDAY(AJ12)&lt;7),IF(ISERROR(VLOOKUP(AJ12,Fridag!$B$7:$G$40,4,FALSE))=TRUE,normtid,IF(VLOOKUP(AJ12,Fridag!$B$7:$G$40,4,TRUE)=0,"ej sem",VLOOKUP(AJ12,Fridag!$B$7:$G$40,4,TRUE)*normtid)),"ej sem")</f>
        <v>ej sem</v>
      </c>
      <c r="AL12" s="138" t="str">
        <f>IF(ISERROR(VLOOKUP(AJ12,Fridag!$B$7:$G$38,5,FALSE))=TRUE,"",VLOOKUP(AJ12,Fridag!$B$7:$G$38,5,TRUE))</f>
        <v/>
      </c>
      <c r="AM12" s="471"/>
    </row>
    <row r="13" spans="1:39" s="472" customFormat="1">
      <c r="A13" s="122"/>
      <c r="B13" s="122"/>
      <c r="C13" s="135">
        <f t="shared" si="1"/>
        <v>43838</v>
      </c>
      <c r="D13" s="136">
        <f>IF(AND(WEEKDAY(C13)&gt;1,WEEKDAY(C13)&lt;7),IF(ISERROR(VLOOKUP(C13,Fridag!$B$7:$G$40,4,FALSE))=TRUE,normtid,IF(VLOOKUP(C13,Fridag!$B$7:$G$40,4,TRUE)=0,"ej sem",VLOOKUP(C13,Fridag!$B$7:$G$40,4,TRUE)*normtid)),"ej sem")</f>
        <v>8</v>
      </c>
      <c r="E13" s="138" t="str">
        <f>IF(ISERROR(VLOOKUP(C13,Fridag!$B$7:$G$38,5,FALSE))=TRUE,"",VLOOKUP(C13,Fridag!$B$7:$G$38,5,TRUE))</f>
        <v/>
      </c>
      <c r="F13" s="137">
        <f t="shared" si="2"/>
        <v>43869</v>
      </c>
      <c r="G13" s="136">
        <f>IF(AND(WEEKDAY(F13)&gt;1,WEEKDAY(F13)&lt;7),IF(ISERROR(VLOOKUP(F13,Fridag!$B$7:$G$40,4,FALSE))=TRUE,normtid,IF(VLOOKUP(F13,Fridag!$B$7:$G$40,4,TRUE)=0,"ej sem",VLOOKUP(F13,Fridag!$B$7:$G$40,4,TRUE)*normtid)),"ej sem")</f>
        <v>8</v>
      </c>
      <c r="H13" s="138" t="str">
        <f>IF(ISERROR(VLOOKUP(F13,Fridag!$B$7:$G$38,5,FALSE))=TRUE,"",VLOOKUP(F13,Fridag!$B$7:$G$38,5,TRUE))</f>
        <v/>
      </c>
      <c r="I13" s="137">
        <f t="shared" si="3"/>
        <v>43898</v>
      </c>
      <c r="J13" s="136" t="str">
        <f>IF(AND(WEEKDAY(I13)&gt;1,WEEKDAY(I13)&lt;7),IF(ISERROR(VLOOKUP(I13,Fridag!$B$7:$G$40,4,FALSE))=TRUE,normtid,IF(VLOOKUP(I13,Fridag!$B$7:$G$40,4,TRUE)=0,"ej sem",VLOOKUP(I13,Fridag!$B$7:$G$40,4,TRUE)*normtid)),"ej sem")</f>
        <v>ej sem</v>
      </c>
      <c r="K13" s="138" t="str">
        <f>IF(ISERROR(VLOOKUP(I13,Fridag!$B$7:$G$38,5,FALSE))=TRUE,"",VLOOKUP(I13,Fridag!$B$7:$G$38,5,TRUE))</f>
        <v/>
      </c>
      <c r="L13" s="137">
        <f t="shared" si="4"/>
        <v>43929</v>
      </c>
      <c r="M13" s="136">
        <f>IF(AND(WEEKDAY(L13)&gt;1,WEEKDAY(L13)&lt;7),IF(ISERROR(VLOOKUP(L13,Fridag!$B$7:$G$40,4,FALSE))=TRUE,normtid,IF(VLOOKUP(L13,Fridag!$B$7:$G$40,4,TRUE)=0,"ej sem",VLOOKUP(L13,Fridag!$B$7:$G$40,4,TRUE)*normtid)),"ej sem")</f>
        <v>8</v>
      </c>
      <c r="N13" s="138" t="str">
        <f>IF(ISERROR(VLOOKUP(L13,Fridag!$B$7:$G$38,5,FALSE))=TRUE,"",VLOOKUP(L13,Fridag!$B$7:$G$38,5,TRUE))</f>
        <v/>
      </c>
      <c r="O13" s="137">
        <f t="shared" si="5"/>
        <v>43959</v>
      </c>
      <c r="P13" s="136" t="str">
        <f>IF(AND(WEEKDAY(O13)&gt;1,WEEKDAY(O13)&lt;7),IF(ISERROR(VLOOKUP(O13,Fridag!$B$7:$G$40,4,FALSE))=TRUE,normtid,IF(VLOOKUP(O13,Fridag!$B$7:$G$40,4,TRUE)=0,"ej sem",VLOOKUP(O13,Fridag!$B$7:$G$40,4,TRUE)*normtid)),"ej sem")</f>
        <v>ej sem</v>
      </c>
      <c r="Q13" s="138" t="str">
        <f>IF(ISERROR(VLOOKUP(O13,Fridag!$B$7:$G$38,5,FALSE))=TRUE,"",VLOOKUP(O13,Fridag!$B$7:$G$38,5,TRUE))</f>
        <v>Kristi himmelsfärdsdag</v>
      </c>
      <c r="R13" s="137">
        <f t="shared" si="6"/>
        <v>43990</v>
      </c>
      <c r="S13" s="136" t="str">
        <f>IF(AND(WEEKDAY(R13)&gt;1,WEEKDAY(R13)&lt;7),IF(ISERROR(VLOOKUP(R13,Fridag!$B$7:$G$40,4,FALSE))=TRUE,normtid,IF(VLOOKUP(R13,Fridag!$B$7:$G$40,4,TRUE)=0,"ej sem",VLOOKUP(R13,Fridag!$B$7:$G$40,4,TRUE)*normtid)),"ej sem")</f>
        <v>ej sem</v>
      </c>
      <c r="T13" s="138" t="str">
        <f>IF(ISERROR(VLOOKUP(R13,Fridag!$B$7:$G$38,5,FALSE))=TRUE,"",VLOOKUP(R13,Fridag!$B$7:$G$38,5,TRUE))</f>
        <v/>
      </c>
      <c r="U13" s="137">
        <f t="shared" si="0"/>
        <v>44020</v>
      </c>
      <c r="V13" s="136">
        <f>IF(AND(WEEKDAY(U13)&gt;1,WEEKDAY(U13)&lt;7),IF(ISERROR(VLOOKUP(U13,Fridag!$B$7:$G$40,4,FALSE))=TRUE,normtid,IF(VLOOKUP(U13,Fridag!$B$7:$G$40,4,TRUE)=0,"ej sem",VLOOKUP(U13,Fridag!$B$7:$G$40,4,TRUE)*normtid)),"ej sem")</f>
        <v>8</v>
      </c>
      <c r="W13" s="138" t="str">
        <f>IF(ISERROR(VLOOKUP(U13,Fridag!$B$7:$G$38,5,FALSE))=TRUE,"",VLOOKUP(U13,Fridag!$B$7:$G$38,5,TRUE))</f>
        <v/>
      </c>
      <c r="X13" s="137">
        <f t="shared" si="7"/>
        <v>44051</v>
      </c>
      <c r="Y13" s="136">
        <f>IF(AND(WEEKDAY(X13)&gt;1,WEEKDAY(X13)&lt;7),IF(ISERROR(VLOOKUP(X13,Fridag!$B$7:$G$40,4,FALSE))=TRUE,normtid,IF(VLOOKUP(X13,Fridag!$B$7:$G$40,4,TRUE)=0,"ej sem",VLOOKUP(X13,Fridag!$B$7:$G$40,4,TRUE)*normtid)),"ej sem")</f>
        <v>8</v>
      </c>
      <c r="Z13" s="138" t="str">
        <f>IF(ISERROR(VLOOKUP(X13,Fridag!$B$7:$G$38,5,FALSE))=TRUE,"",VLOOKUP(X13,Fridag!$B$7:$G$38,5,TRUE))</f>
        <v/>
      </c>
      <c r="AA13" s="137">
        <f t="shared" si="8"/>
        <v>44082</v>
      </c>
      <c r="AB13" s="136">
        <f>IF(AND(WEEKDAY(AA13)&gt;1,WEEKDAY(AA13)&lt;7),IF(ISERROR(VLOOKUP(AA13,Fridag!$B$7:$G$40,4,FALSE))=TRUE,normtid,IF(VLOOKUP(AA13,Fridag!$B$7:$G$40,4,TRUE)=0,"ej sem",VLOOKUP(AA13,Fridag!$B$7:$G$40,4,TRUE)*normtid)),"ej sem")</f>
        <v>8</v>
      </c>
      <c r="AC13" s="138" t="str">
        <f>IF(ISERROR(VLOOKUP(AA13,Fridag!$B$7:$G$38,5,FALSE))=TRUE,"",VLOOKUP(AA13,Fridag!$B$7:$G$38,5,TRUE))</f>
        <v/>
      </c>
      <c r="AD13" s="137">
        <f t="shared" si="9"/>
        <v>44112</v>
      </c>
      <c r="AE13" s="136">
        <f>IF(AND(WEEKDAY(AD13)&gt;1,WEEKDAY(AD13)&lt;7),IF(ISERROR(VLOOKUP(AD13,Fridag!$B$7:$G$40,4,FALSE))=TRUE,normtid,IF(VLOOKUP(AD13,Fridag!$B$7:$G$40,4,TRUE)=0,"ej sem",VLOOKUP(AD13,Fridag!$B$7:$G$40,4,TRUE)*normtid)),"ej sem")</f>
        <v>8</v>
      </c>
      <c r="AF13" s="138" t="str">
        <f>IF(ISERROR(VLOOKUP(AD13,Fridag!$B$7:$G$38,5,FALSE))=TRUE,"",VLOOKUP(AD13,Fridag!$B$7:$G$38,5,TRUE))</f>
        <v/>
      </c>
      <c r="AG13" s="137">
        <f t="shared" si="10"/>
        <v>44143</v>
      </c>
      <c r="AH13" s="136" t="str">
        <f>IF(AND(WEEKDAY(AG13)&gt;1,WEEKDAY(AG13)&lt;7),IF(ISERROR(VLOOKUP(AG13,Fridag!$B$7:$G$40,4,FALSE))=TRUE,normtid,IF(VLOOKUP(AG13,Fridag!$B$7:$G$40,4,TRUE)=0,"ej sem",VLOOKUP(AG13,Fridag!$B$7:$G$40,4,TRUE)*normtid)),"ej sem")</f>
        <v>ej sem</v>
      </c>
      <c r="AI13" s="138" t="str">
        <f>IF(ISERROR(VLOOKUP(AG13,Fridag!$B$7:$G$38,5,FALSE))=TRUE,"",VLOOKUP(AG13,Fridag!$B$7:$G$38,5,TRUE))</f>
        <v/>
      </c>
      <c r="AJ13" s="137">
        <f t="shared" si="11"/>
        <v>44173</v>
      </c>
      <c r="AK13" s="136">
        <f>IF(AND(WEEKDAY(AJ13)&gt;1,WEEKDAY(AJ13)&lt;7),IF(ISERROR(VLOOKUP(AJ13,Fridag!$B$7:$G$40,4,FALSE))=TRUE,normtid,IF(VLOOKUP(AJ13,Fridag!$B$7:$G$40,4,TRUE)=0,"ej sem",VLOOKUP(AJ13,Fridag!$B$7:$G$40,4,TRUE)*normtid)),"ej sem")</f>
        <v>8</v>
      </c>
      <c r="AL13" s="138" t="str">
        <f>IF(ISERROR(VLOOKUP(AJ13,Fridag!$B$7:$G$38,5,FALSE))=TRUE,"",VLOOKUP(AJ13,Fridag!$B$7:$G$38,5,TRUE))</f>
        <v/>
      </c>
      <c r="AM13" s="471"/>
    </row>
    <row r="14" spans="1:39" s="472" customFormat="1">
      <c r="A14" s="122"/>
      <c r="B14" s="122"/>
      <c r="C14" s="135">
        <f t="shared" si="1"/>
        <v>43839</v>
      </c>
      <c r="D14" s="136">
        <f>IF(AND(WEEKDAY(C14)&gt;1,WEEKDAY(C14)&lt;7),IF(ISERROR(VLOOKUP(C14,Fridag!$B$7:$G$40,4,FALSE))=TRUE,normtid,IF(VLOOKUP(C14,Fridag!$B$7:$G$40,4,TRUE)=0,"ej sem",VLOOKUP(C14,Fridag!$B$7:$G$40,4,TRUE)*normtid)),"ej sem")</f>
        <v>8</v>
      </c>
      <c r="E14" s="138" t="str">
        <f>IF(ISERROR(VLOOKUP(C14,Fridag!$B$7:$G$38,5,FALSE))=TRUE,"",VLOOKUP(C14,Fridag!$B$7:$G$38,5,TRUE))</f>
        <v/>
      </c>
      <c r="F14" s="137">
        <f t="shared" si="2"/>
        <v>43870</v>
      </c>
      <c r="G14" s="136" t="str">
        <f>IF(AND(WEEKDAY(F14)&gt;1,WEEKDAY(F14)&lt;7),IF(ISERROR(VLOOKUP(F14,Fridag!$B$7:$G$40,4,FALSE))=TRUE,normtid,IF(VLOOKUP(F14,Fridag!$B$7:$G$40,4,TRUE)=0,"ej sem",VLOOKUP(F14,Fridag!$B$7:$G$40,4,TRUE)*normtid)),"ej sem")</f>
        <v>ej sem</v>
      </c>
      <c r="H14" s="138" t="str">
        <f>IF(ISERROR(VLOOKUP(F14,Fridag!$B$7:$G$38,5,FALSE))=TRUE,"",VLOOKUP(F14,Fridag!$B$7:$G$38,5,TRUE))</f>
        <v/>
      </c>
      <c r="I14" s="137">
        <f t="shared" si="3"/>
        <v>43899</v>
      </c>
      <c r="J14" s="136" t="str">
        <f>IF(AND(WEEKDAY(I14)&gt;1,WEEKDAY(I14)&lt;7),IF(ISERROR(VLOOKUP(I14,Fridag!$B$7:$G$40,4,FALSE))=TRUE,normtid,IF(VLOOKUP(I14,Fridag!$B$7:$G$40,4,TRUE)=0,"ej sem",VLOOKUP(I14,Fridag!$B$7:$G$40,4,TRUE)*normtid)),"ej sem")</f>
        <v>ej sem</v>
      </c>
      <c r="K14" s="138" t="str">
        <f>IF(ISERROR(VLOOKUP(I14,Fridag!$B$7:$G$38,5,FALSE))=TRUE,"",VLOOKUP(I14,Fridag!$B$7:$G$38,5,TRUE))</f>
        <v/>
      </c>
      <c r="L14" s="137">
        <f t="shared" si="4"/>
        <v>43930</v>
      </c>
      <c r="M14" s="136">
        <f>IF(AND(WEEKDAY(L14)&gt;1,WEEKDAY(L14)&lt;7),IF(ISERROR(VLOOKUP(L14,Fridag!$B$7:$G$40,4,FALSE))=TRUE,normtid,IF(VLOOKUP(L14,Fridag!$B$7:$G$40,4,TRUE)=0,"ej sem",VLOOKUP(L14,Fridag!$B$7:$G$40,4,TRUE)*normtid)),"ej sem")</f>
        <v>8</v>
      </c>
      <c r="N14" s="138" t="str">
        <f>IF(ISERROR(VLOOKUP(L14,Fridag!$B$7:$G$38,5,FALSE))=TRUE,"",VLOOKUP(L14,Fridag!$B$7:$G$38,5,TRUE))</f>
        <v/>
      </c>
      <c r="O14" s="137">
        <f t="shared" si="5"/>
        <v>43960</v>
      </c>
      <c r="P14" s="136" t="str">
        <f>IF(AND(WEEKDAY(O14)&gt;1,WEEKDAY(O14)&lt;7),IF(ISERROR(VLOOKUP(O14,Fridag!$B$7:$G$40,4,FALSE))=TRUE,normtid,IF(VLOOKUP(O14,Fridag!$B$7:$G$40,4,TRUE)=0,"ej sem",VLOOKUP(O14,Fridag!$B$7:$G$40,4,TRUE)*normtid)),"ej sem")</f>
        <v>ej sem</v>
      </c>
      <c r="Q14" s="138" t="str">
        <f>IF(ISERROR(VLOOKUP(O14,Fridag!$B$7:$G$38,5,FALSE))=TRUE,"",VLOOKUP(O14,Fridag!$B$7:$G$38,5,TRUE))</f>
        <v>Klämdag</v>
      </c>
      <c r="R14" s="137">
        <f t="shared" si="6"/>
        <v>43991</v>
      </c>
      <c r="S14" s="136">
        <f>IF(AND(WEEKDAY(R14)&gt;1,WEEKDAY(R14)&lt;7),IF(ISERROR(VLOOKUP(R14,Fridag!$B$7:$G$40,4,FALSE))=TRUE,normtid,IF(VLOOKUP(R14,Fridag!$B$7:$G$40,4,TRUE)=0,"ej sem",VLOOKUP(R14,Fridag!$B$7:$G$40,4,TRUE)*normtid)),"ej sem")</f>
        <v>8</v>
      </c>
      <c r="T14" s="138" t="str">
        <f>IF(ISERROR(VLOOKUP(R14,Fridag!$B$7:$G$38,5,FALSE))=TRUE,"",VLOOKUP(R14,Fridag!$B$7:$G$38,5,TRUE))</f>
        <v/>
      </c>
      <c r="U14" s="137">
        <f t="shared" si="0"/>
        <v>44021</v>
      </c>
      <c r="V14" s="136">
        <f>IF(AND(WEEKDAY(U14)&gt;1,WEEKDAY(U14)&lt;7),IF(ISERROR(VLOOKUP(U14,Fridag!$B$7:$G$40,4,FALSE))=TRUE,normtid,IF(VLOOKUP(U14,Fridag!$B$7:$G$40,4,TRUE)=0,"ej sem",VLOOKUP(U14,Fridag!$B$7:$G$40,4,TRUE)*normtid)),"ej sem")</f>
        <v>8</v>
      </c>
      <c r="W14" s="138" t="str">
        <f>IF(ISERROR(VLOOKUP(U14,Fridag!$B$7:$G$38,5,FALSE))=TRUE,"",VLOOKUP(U14,Fridag!$B$7:$G$38,5,TRUE))</f>
        <v/>
      </c>
      <c r="X14" s="137">
        <f t="shared" si="7"/>
        <v>44052</v>
      </c>
      <c r="Y14" s="136" t="str">
        <f>IF(AND(WEEKDAY(X14)&gt;1,WEEKDAY(X14)&lt;7),IF(ISERROR(VLOOKUP(X14,Fridag!$B$7:$G$40,4,FALSE))=TRUE,normtid,IF(VLOOKUP(X14,Fridag!$B$7:$G$40,4,TRUE)=0,"ej sem",VLOOKUP(X14,Fridag!$B$7:$G$40,4,TRUE)*normtid)),"ej sem")</f>
        <v>ej sem</v>
      </c>
      <c r="Z14" s="138" t="str">
        <f>IF(ISERROR(VLOOKUP(X14,Fridag!$B$7:$G$38,5,FALSE))=TRUE,"",VLOOKUP(X14,Fridag!$B$7:$G$38,5,TRUE))</f>
        <v/>
      </c>
      <c r="AA14" s="137">
        <f t="shared" si="8"/>
        <v>44083</v>
      </c>
      <c r="AB14" s="136">
        <f>IF(AND(WEEKDAY(AA14)&gt;1,WEEKDAY(AA14)&lt;7),IF(ISERROR(VLOOKUP(AA14,Fridag!$B$7:$G$40,4,FALSE))=TRUE,normtid,IF(VLOOKUP(AA14,Fridag!$B$7:$G$40,4,TRUE)=0,"ej sem",VLOOKUP(AA14,Fridag!$B$7:$G$40,4,TRUE)*normtid)),"ej sem")</f>
        <v>8</v>
      </c>
      <c r="AC14" s="138" t="str">
        <f>IF(ISERROR(VLOOKUP(AA14,Fridag!$B$7:$G$38,5,FALSE))=TRUE,"",VLOOKUP(AA14,Fridag!$B$7:$G$38,5,TRUE))</f>
        <v/>
      </c>
      <c r="AD14" s="137">
        <f t="shared" si="9"/>
        <v>44113</v>
      </c>
      <c r="AE14" s="136">
        <f>IF(AND(WEEKDAY(AD14)&gt;1,WEEKDAY(AD14)&lt;7),IF(ISERROR(VLOOKUP(AD14,Fridag!$B$7:$G$40,4,FALSE))=TRUE,normtid,IF(VLOOKUP(AD14,Fridag!$B$7:$G$40,4,TRUE)=0,"ej sem",VLOOKUP(AD14,Fridag!$B$7:$G$40,4,TRUE)*normtid)),"ej sem")</f>
        <v>8</v>
      </c>
      <c r="AF14" s="138" t="str">
        <f>IF(ISERROR(VLOOKUP(AD14,Fridag!$B$7:$G$38,5,FALSE))=TRUE,"",VLOOKUP(AD14,Fridag!$B$7:$G$38,5,TRUE))</f>
        <v/>
      </c>
      <c r="AG14" s="137">
        <f t="shared" si="10"/>
        <v>44144</v>
      </c>
      <c r="AH14" s="136" t="str">
        <f>IF(AND(WEEKDAY(AG14)&gt;1,WEEKDAY(AG14)&lt;7),IF(ISERROR(VLOOKUP(AG14,Fridag!$B$7:$G$40,4,FALSE))=TRUE,normtid,IF(VLOOKUP(AG14,Fridag!$B$7:$G$40,4,TRUE)=0,"ej sem",VLOOKUP(AG14,Fridag!$B$7:$G$40,4,TRUE)*normtid)),"ej sem")</f>
        <v>ej sem</v>
      </c>
      <c r="AI14" s="138" t="str">
        <f>IF(ISERROR(VLOOKUP(AG14,Fridag!$B$7:$G$38,5,FALSE))=TRUE,"",VLOOKUP(AG14,Fridag!$B$7:$G$38,5,TRUE))</f>
        <v/>
      </c>
      <c r="AJ14" s="137">
        <f t="shared" si="11"/>
        <v>44174</v>
      </c>
      <c r="AK14" s="136">
        <f>IF(AND(WEEKDAY(AJ14)&gt;1,WEEKDAY(AJ14)&lt;7),IF(ISERROR(VLOOKUP(AJ14,Fridag!$B$7:$G$40,4,FALSE))=TRUE,normtid,IF(VLOOKUP(AJ14,Fridag!$B$7:$G$40,4,TRUE)=0,"ej sem",VLOOKUP(AJ14,Fridag!$B$7:$G$40,4,TRUE)*normtid)),"ej sem")</f>
        <v>8</v>
      </c>
      <c r="AL14" s="138" t="str">
        <f>IF(ISERROR(VLOOKUP(AJ14,Fridag!$B$7:$G$38,5,FALSE))=TRUE,"",VLOOKUP(AJ14,Fridag!$B$7:$G$38,5,TRUE))</f>
        <v/>
      </c>
      <c r="AM14" s="471"/>
    </row>
    <row r="15" spans="1:39" s="472" customFormat="1">
      <c r="A15" s="122"/>
      <c r="B15" s="122"/>
      <c r="C15" s="135">
        <f t="shared" si="1"/>
        <v>43840</v>
      </c>
      <c r="D15" s="136">
        <f>IF(AND(WEEKDAY(C15)&gt;1,WEEKDAY(C15)&lt;7),IF(ISERROR(VLOOKUP(C15,Fridag!$B$7:$G$40,4,FALSE))=TRUE,normtid,IF(VLOOKUP(C15,Fridag!$B$7:$G$40,4,TRUE)=0,"ej sem",VLOOKUP(C15,Fridag!$B$7:$G$40,4,TRUE)*normtid)),"ej sem")</f>
        <v>8</v>
      </c>
      <c r="E15" s="138" t="str">
        <f>IF(ISERROR(VLOOKUP(C15,Fridag!$B$7:$G$38,5,FALSE))=TRUE,"",VLOOKUP(C15,Fridag!$B$7:$G$38,5,TRUE))</f>
        <v/>
      </c>
      <c r="F15" s="137">
        <f t="shared" si="2"/>
        <v>43871</v>
      </c>
      <c r="G15" s="136" t="str">
        <f>IF(AND(WEEKDAY(F15)&gt;1,WEEKDAY(F15)&lt;7),IF(ISERROR(VLOOKUP(F15,Fridag!$B$7:$G$40,4,FALSE))=TRUE,normtid,IF(VLOOKUP(F15,Fridag!$B$7:$G$40,4,TRUE)=0,"ej sem",VLOOKUP(F15,Fridag!$B$7:$G$40,4,TRUE)*normtid)),"ej sem")</f>
        <v>ej sem</v>
      </c>
      <c r="H15" s="138" t="str">
        <f>IF(ISERROR(VLOOKUP(F15,Fridag!$B$7:$G$38,5,FALSE))=TRUE,"",VLOOKUP(F15,Fridag!$B$7:$G$38,5,TRUE))</f>
        <v/>
      </c>
      <c r="I15" s="137">
        <f t="shared" si="3"/>
        <v>43900</v>
      </c>
      <c r="J15" s="136">
        <f>IF(AND(WEEKDAY(I15)&gt;1,WEEKDAY(I15)&lt;7),IF(ISERROR(VLOOKUP(I15,Fridag!$B$7:$G$40,4,FALSE))=TRUE,normtid,IF(VLOOKUP(I15,Fridag!$B$7:$G$40,4,TRUE)=0,"ej sem",VLOOKUP(I15,Fridag!$B$7:$G$40,4,TRUE)*normtid)),"ej sem")</f>
        <v>8</v>
      </c>
      <c r="K15" s="138" t="str">
        <f>IF(ISERROR(VLOOKUP(I15,Fridag!$B$7:$G$38,5,FALSE))=TRUE,"",VLOOKUP(I15,Fridag!$B$7:$G$38,5,TRUE))</f>
        <v/>
      </c>
      <c r="L15" s="137">
        <f t="shared" si="4"/>
        <v>43931</v>
      </c>
      <c r="M15" s="136">
        <f>IF(AND(WEEKDAY(L15)&gt;1,WEEKDAY(L15)&lt;7),IF(ISERROR(VLOOKUP(L15,Fridag!$B$7:$G$40,4,FALSE))=TRUE,normtid,IF(VLOOKUP(L15,Fridag!$B$7:$G$40,4,TRUE)=0,"ej sem",VLOOKUP(L15,Fridag!$B$7:$G$40,4,TRUE)*normtid)),"ej sem")</f>
        <v>8</v>
      </c>
      <c r="N15" s="138" t="str">
        <f>IF(ISERROR(VLOOKUP(L15,Fridag!$B$7:$G$38,5,FALSE))=TRUE,"",VLOOKUP(L15,Fridag!$B$7:$G$38,5,TRUE))</f>
        <v/>
      </c>
      <c r="O15" s="137">
        <f t="shared" si="5"/>
        <v>43961</v>
      </c>
      <c r="P15" s="136" t="str">
        <f>IF(AND(WEEKDAY(O15)&gt;1,WEEKDAY(O15)&lt;7),IF(ISERROR(VLOOKUP(O15,Fridag!$B$7:$G$40,4,FALSE))=TRUE,normtid,IF(VLOOKUP(O15,Fridag!$B$7:$G$40,4,TRUE)=0,"ej sem",VLOOKUP(O15,Fridag!$B$7:$G$40,4,TRUE)*normtid)),"ej sem")</f>
        <v>ej sem</v>
      </c>
      <c r="Q15" s="138" t="str">
        <f>IF(ISERROR(VLOOKUP(O15,Fridag!$B$7:$G$38,5,FALSE))=TRUE,"",VLOOKUP(O15,Fridag!$B$7:$G$38,5,TRUE))</f>
        <v/>
      </c>
      <c r="R15" s="137">
        <f t="shared" si="6"/>
        <v>43992</v>
      </c>
      <c r="S15" s="136">
        <f>IF(AND(WEEKDAY(R15)&gt;1,WEEKDAY(R15)&lt;7),IF(ISERROR(VLOOKUP(R15,Fridag!$B$7:$G$40,4,FALSE))=TRUE,normtid,IF(VLOOKUP(R15,Fridag!$B$7:$G$40,4,TRUE)=0,"ej sem",VLOOKUP(R15,Fridag!$B$7:$G$40,4,TRUE)*normtid)),"ej sem")</f>
        <v>8</v>
      </c>
      <c r="T15" s="138" t="str">
        <f>IF(ISERROR(VLOOKUP(R15,Fridag!$B$7:$G$38,5,FALSE))=TRUE,"",VLOOKUP(R15,Fridag!$B$7:$G$38,5,TRUE))</f>
        <v/>
      </c>
      <c r="U15" s="137">
        <f t="shared" si="0"/>
        <v>44022</v>
      </c>
      <c r="V15" s="136">
        <f>IF(AND(WEEKDAY(U15)&gt;1,WEEKDAY(U15)&lt;7),IF(ISERROR(VLOOKUP(U15,Fridag!$B$7:$G$40,4,FALSE))=TRUE,normtid,IF(VLOOKUP(U15,Fridag!$B$7:$G$40,4,TRUE)=0,"ej sem",VLOOKUP(U15,Fridag!$B$7:$G$40,4,TRUE)*normtid)),"ej sem")</f>
        <v>8</v>
      </c>
      <c r="W15" s="138" t="str">
        <f>IF(ISERROR(VLOOKUP(U15,Fridag!$B$7:$G$38,5,FALSE))=TRUE,"",VLOOKUP(U15,Fridag!$B$7:$G$38,5,TRUE))</f>
        <v/>
      </c>
      <c r="X15" s="137">
        <f t="shared" si="7"/>
        <v>44053</v>
      </c>
      <c r="Y15" s="136" t="str">
        <f>IF(AND(WEEKDAY(X15)&gt;1,WEEKDAY(X15)&lt;7),IF(ISERROR(VLOOKUP(X15,Fridag!$B$7:$G$40,4,FALSE))=TRUE,normtid,IF(VLOOKUP(X15,Fridag!$B$7:$G$40,4,TRUE)=0,"ej sem",VLOOKUP(X15,Fridag!$B$7:$G$40,4,TRUE)*normtid)),"ej sem")</f>
        <v>ej sem</v>
      </c>
      <c r="Z15" s="138" t="str">
        <f>IF(ISERROR(VLOOKUP(X15,Fridag!$B$7:$G$38,5,FALSE))=TRUE,"",VLOOKUP(X15,Fridag!$B$7:$G$38,5,TRUE))</f>
        <v/>
      </c>
      <c r="AA15" s="137">
        <f t="shared" si="8"/>
        <v>44084</v>
      </c>
      <c r="AB15" s="136">
        <f>IF(AND(WEEKDAY(AA15)&gt;1,WEEKDAY(AA15)&lt;7),IF(ISERROR(VLOOKUP(AA15,Fridag!$B$7:$G$40,4,FALSE))=TRUE,normtid,IF(VLOOKUP(AA15,Fridag!$B$7:$G$40,4,TRUE)=0,"ej sem",VLOOKUP(AA15,Fridag!$B$7:$G$40,4,TRUE)*normtid)),"ej sem")</f>
        <v>8</v>
      </c>
      <c r="AC15" s="138" t="str">
        <f>IF(ISERROR(VLOOKUP(AA15,Fridag!$B$7:$G$38,5,FALSE))=TRUE,"",VLOOKUP(AA15,Fridag!$B$7:$G$38,5,TRUE))</f>
        <v/>
      </c>
      <c r="AD15" s="137">
        <f t="shared" si="9"/>
        <v>44114</v>
      </c>
      <c r="AE15" s="136">
        <f>IF(AND(WEEKDAY(AD15)&gt;1,WEEKDAY(AD15)&lt;7),IF(ISERROR(VLOOKUP(AD15,Fridag!$B$7:$G$40,4,FALSE))=TRUE,normtid,IF(VLOOKUP(AD15,Fridag!$B$7:$G$40,4,TRUE)=0,"ej sem",VLOOKUP(AD15,Fridag!$B$7:$G$40,4,TRUE)*normtid)),"ej sem")</f>
        <v>8</v>
      </c>
      <c r="AF15" s="138" t="str">
        <f>IF(ISERROR(VLOOKUP(AD15,Fridag!$B$7:$G$38,5,FALSE))=TRUE,"",VLOOKUP(AD15,Fridag!$B$7:$G$38,5,TRUE))</f>
        <v/>
      </c>
      <c r="AG15" s="137">
        <f t="shared" si="10"/>
        <v>44145</v>
      </c>
      <c r="AH15" s="136">
        <f>IF(AND(WEEKDAY(AG15)&gt;1,WEEKDAY(AG15)&lt;7),IF(ISERROR(VLOOKUP(AG15,Fridag!$B$7:$G$40,4,FALSE))=TRUE,normtid,IF(VLOOKUP(AG15,Fridag!$B$7:$G$40,4,TRUE)=0,"ej sem",VLOOKUP(AG15,Fridag!$B$7:$G$40,4,TRUE)*normtid)),"ej sem")</f>
        <v>8</v>
      </c>
      <c r="AI15" s="138" t="str">
        <f>IF(ISERROR(VLOOKUP(AG15,Fridag!$B$7:$G$38,5,FALSE))=TRUE,"",VLOOKUP(AG15,Fridag!$B$7:$G$38,5,TRUE))</f>
        <v/>
      </c>
      <c r="AJ15" s="137">
        <f t="shared" si="11"/>
        <v>44175</v>
      </c>
      <c r="AK15" s="136">
        <f>IF(AND(WEEKDAY(AJ15)&gt;1,WEEKDAY(AJ15)&lt;7),IF(ISERROR(VLOOKUP(AJ15,Fridag!$B$7:$G$40,4,FALSE))=TRUE,normtid,IF(VLOOKUP(AJ15,Fridag!$B$7:$G$40,4,TRUE)=0,"ej sem",VLOOKUP(AJ15,Fridag!$B$7:$G$40,4,TRUE)*normtid)),"ej sem")</f>
        <v>8</v>
      </c>
      <c r="AL15" s="138" t="str">
        <f>IF(ISERROR(VLOOKUP(AJ15,Fridag!$B$7:$G$38,5,FALSE))=TRUE,"",VLOOKUP(AJ15,Fridag!$B$7:$G$38,5,TRUE))</f>
        <v/>
      </c>
      <c r="AM15" s="471"/>
    </row>
    <row r="16" spans="1:39" s="472" customFormat="1">
      <c r="A16" s="122"/>
      <c r="B16" s="122"/>
      <c r="C16" s="135">
        <f t="shared" si="1"/>
        <v>43841</v>
      </c>
      <c r="D16" s="136">
        <f>IF(AND(WEEKDAY(C16)&gt;1,WEEKDAY(C16)&lt;7),IF(ISERROR(VLOOKUP(C16,Fridag!$B$7:$G$40,4,FALSE))=TRUE,normtid,IF(VLOOKUP(C16,Fridag!$B$7:$G$40,4,TRUE)=0,"ej sem",VLOOKUP(C16,Fridag!$B$7:$G$40,4,TRUE)*normtid)),"ej sem")</f>
        <v>8</v>
      </c>
      <c r="E16" s="138" t="str">
        <f>IF(ISERROR(VLOOKUP(C16,Fridag!$B$7:$G$38,5,FALSE))=TRUE,"",VLOOKUP(C16,Fridag!$B$7:$G$38,5,TRUE))</f>
        <v/>
      </c>
      <c r="F16" s="137">
        <f t="shared" si="2"/>
        <v>43872</v>
      </c>
      <c r="G16" s="136">
        <f>IF(AND(WEEKDAY(F16)&gt;1,WEEKDAY(F16)&lt;7),IF(ISERROR(VLOOKUP(F16,Fridag!$B$7:$G$40,4,FALSE))=TRUE,normtid,IF(VLOOKUP(F16,Fridag!$B$7:$G$40,4,TRUE)=0,"ej sem",VLOOKUP(F16,Fridag!$B$7:$G$40,4,TRUE)*normtid)),"ej sem")</f>
        <v>8</v>
      </c>
      <c r="H16" s="138" t="str">
        <f>IF(ISERROR(VLOOKUP(F16,Fridag!$B$7:$G$38,5,FALSE))=TRUE,"",VLOOKUP(F16,Fridag!$B$7:$G$38,5,TRUE))</f>
        <v/>
      </c>
      <c r="I16" s="137">
        <f t="shared" si="3"/>
        <v>43901</v>
      </c>
      <c r="J16" s="136">
        <f>IF(AND(WEEKDAY(I16)&gt;1,WEEKDAY(I16)&lt;7),IF(ISERROR(VLOOKUP(I16,Fridag!$B$7:$G$40,4,FALSE))=TRUE,normtid,IF(VLOOKUP(I16,Fridag!$B$7:$G$40,4,TRUE)=0,"ej sem",VLOOKUP(I16,Fridag!$B$7:$G$40,4,TRUE)*normtid)),"ej sem")</f>
        <v>8</v>
      </c>
      <c r="K16" s="138" t="str">
        <f>IF(ISERROR(VLOOKUP(I16,Fridag!$B$7:$G$38,5,FALSE))=TRUE,"",VLOOKUP(I16,Fridag!$B$7:$G$38,5,TRUE))</f>
        <v/>
      </c>
      <c r="L16" s="137">
        <f t="shared" si="4"/>
        <v>43932</v>
      </c>
      <c r="M16" s="136">
        <f>IF(AND(WEEKDAY(L16)&gt;1,WEEKDAY(L16)&lt;7),IF(ISERROR(VLOOKUP(L16,Fridag!$B$7:$G$40,4,FALSE))=TRUE,normtid,IF(VLOOKUP(L16,Fridag!$B$7:$G$40,4,TRUE)=0,"ej sem",VLOOKUP(L16,Fridag!$B$7:$G$40,4,TRUE)*normtid)),"ej sem")</f>
        <v>8</v>
      </c>
      <c r="N16" s="138" t="str">
        <f>IF(ISERROR(VLOOKUP(L16,Fridag!$B$7:$G$38,5,FALSE))=TRUE,"",VLOOKUP(L16,Fridag!$B$7:$G$38,5,TRUE))</f>
        <v/>
      </c>
      <c r="O16" s="137">
        <f t="shared" si="5"/>
        <v>43962</v>
      </c>
      <c r="P16" s="136" t="str">
        <f>IF(AND(WEEKDAY(O16)&gt;1,WEEKDAY(O16)&lt;7),IF(ISERROR(VLOOKUP(O16,Fridag!$B$7:$G$40,4,FALSE))=TRUE,normtid,IF(VLOOKUP(O16,Fridag!$B$7:$G$40,4,TRUE)=0,"ej sem",VLOOKUP(O16,Fridag!$B$7:$G$40,4,TRUE)*normtid)),"ej sem")</f>
        <v>ej sem</v>
      </c>
      <c r="Q16" s="138" t="str">
        <f>IF(ISERROR(VLOOKUP(O16,Fridag!$B$7:$G$38,5,FALSE))=TRUE,"",VLOOKUP(O16,Fridag!$B$7:$G$38,5,TRUE))</f>
        <v/>
      </c>
      <c r="R16" s="137">
        <f t="shared" si="6"/>
        <v>43993</v>
      </c>
      <c r="S16" s="136">
        <f>IF(AND(WEEKDAY(R16)&gt;1,WEEKDAY(R16)&lt;7),IF(ISERROR(VLOOKUP(R16,Fridag!$B$7:$G$40,4,FALSE))=TRUE,normtid,IF(VLOOKUP(R16,Fridag!$B$7:$G$40,4,TRUE)=0,"ej sem",VLOOKUP(R16,Fridag!$B$7:$G$40,4,TRUE)*normtid)),"ej sem")</f>
        <v>8</v>
      </c>
      <c r="T16" s="138" t="str">
        <f>IF(ISERROR(VLOOKUP(R16,Fridag!$B$7:$G$38,5,FALSE))=TRUE,"",VLOOKUP(R16,Fridag!$B$7:$G$38,5,TRUE))</f>
        <v/>
      </c>
      <c r="U16" s="137">
        <f t="shared" si="0"/>
        <v>44023</v>
      </c>
      <c r="V16" s="136">
        <f>IF(AND(WEEKDAY(U16)&gt;1,WEEKDAY(U16)&lt;7),IF(ISERROR(VLOOKUP(U16,Fridag!$B$7:$G$40,4,FALSE))=TRUE,normtid,IF(VLOOKUP(U16,Fridag!$B$7:$G$40,4,TRUE)=0,"ej sem",VLOOKUP(U16,Fridag!$B$7:$G$40,4,TRUE)*normtid)),"ej sem")</f>
        <v>8</v>
      </c>
      <c r="W16" s="138" t="str">
        <f>IF(ISERROR(VLOOKUP(U16,Fridag!$B$7:$G$38,5,FALSE))=TRUE,"",VLOOKUP(U16,Fridag!$B$7:$G$38,5,TRUE))</f>
        <v/>
      </c>
      <c r="X16" s="137">
        <f t="shared" si="7"/>
        <v>44054</v>
      </c>
      <c r="Y16" s="136">
        <f>IF(AND(WEEKDAY(X16)&gt;1,WEEKDAY(X16)&lt;7),IF(ISERROR(VLOOKUP(X16,Fridag!$B$7:$G$40,4,FALSE))=TRUE,normtid,IF(VLOOKUP(X16,Fridag!$B$7:$G$40,4,TRUE)=0,"ej sem",VLOOKUP(X16,Fridag!$B$7:$G$40,4,TRUE)*normtid)),"ej sem")</f>
        <v>8</v>
      </c>
      <c r="Z16" s="138" t="str">
        <f>IF(ISERROR(VLOOKUP(X16,Fridag!$B$7:$G$38,5,FALSE))=TRUE,"",VLOOKUP(X16,Fridag!$B$7:$G$38,5,TRUE))</f>
        <v/>
      </c>
      <c r="AA16" s="137">
        <f t="shared" si="8"/>
        <v>44085</v>
      </c>
      <c r="AB16" s="136">
        <f>IF(AND(WEEKDAY(AA16)&gt;1,WEEKDAY(AA16)&lt;7),IF(ISERROR(VLOOKUP(AA16,Fridag!$B$7:$G$40,4,FALSE))=TRUE,normtid,IF(VLOOKUP(AA16,Fridag!$B$7:$G$40,4,TRUE)=0,"ej sem",VLOOKUP(AA16,Fridag!$B$7:$G$40,4,TRUE)*normtid)),"ej sem")</f>
        <v>8</v>
      </c>
      <c r="AC16" s="138" t="str">
        <f>IF(ISERROR(VLOOKUP(AA16,Fridag!$B$7:$G$38,5,FALSE))=TRUE,"",VLOOKUP(AA16,Fridag!$B$7:$G$38,5,TRUE))</f>
        <v/>
      </c>
      <c r="AD16" s="137">
        <f t="shared" si="9"/>
        <v>44115</v>
      </c>
      <c r="AE16" s="136" t="str">
        <f>IF(AND(WEEKDAY(AD16)&gt;1,WEEKDAY(AD16)&lt;7),IF(ISERROR(VLOOKUP(AD16,Fridag!$B$7:$G$40,4,FALSE))=TRUE,normtid,IF(VLOOKUP(AD16,Fridag!$B$7:$G$40,4,TRUE)=0,"ej sem",VLOOKUP(AD16,Fridag!$B$7:$G$40,4,TRUE)*normtid)),"ej sem")</f>
        <v>ej sem</v>
      </c>
      <c r="AF16" s="138" t="str">
        <f>IF(ISERROR(VLOOKUP(AD16,Fridag!$B$7:$G$38,5,FALSE))=TRUE,"",VLOOKUP(AD16,Fridag!$B$7:$G$38,5,TRUE))</f>
        <v/>
      </c>
      <c r="AG16" s="137">
        <f t="shared" si="10"/>
        <v>44146</v>
      </c>
      <c r="AH16" s="136">
        <f>IF(AND(WEEKDAY(AG16)&gt;1,WEEKDAY(AG16)&lt;7),IF(ISERROR(VLOOKUP(AG16,Fridag!$B$7:$G$40,4,FALSE))=TRUE,normtid,IF(VLOOKUP(AG16,Fridag!$B$7:$G$40,4,TRUE)=0,"ej sem",VLOOKUP(AG16,Fridag!$B$7:$G$40,4,TRUE)*normtid)),"ej sem")</f>
        <v>8</v>
      </c>
      <c r="AI16" s="138" t="str">
        <f>IF(ISERROR(VLOOKUP(AG16,Fridag!$B$7:$G$38,5,FALSE))=TRUE,"",VLOOKUP(AG16,Fridag!$B$7:$G$38,5,TRUE))</f>
        <v/>
      </c>
      <c r="AJ16" s="137">
        <f t="shared" si="11"/>
        <v>44176</v>
      </c>
      <c r="AK16" s="136">
        <f>IF(AND(WEEKDAY(AJ16)&gt;1,WEEKDAY(AJ16)&lt;7),IF(ISERROR(VLOOKUP(AJ16,Fridag!$B$7:$G$40,4,FALSE))=TRUE,normtid,IF(VLOOKUP(AJ16,Fridag!$B$7:$G$40,4,TRUE)=0,"ej sem",VLOOKUP(AJ16,Fridag!$B$7:$G$40,4,TRUE)*normtid)),"ej sem")</f>
        <v>8</v>
      </c>
      <c r="AL16" s="138" t="str">
        <f>IF(ISERROR(VLOOKUP(AJ16,Fridag!$B$7:$G$38,5,FALSE))=TRUE,"",VLOOKUP(AJ16,Fridag!$B$7:$G$38,5,TRUE))</f>
        <v/>
      </c>
      <c r="AM16" s="471"/>
    </row>
    <row r="17" spans="1:39" s="472" customFormat="1">
      <c r="A17" s="122"/>
      <c r="B17" s="122"/>
      <c r="C17" s="135">
        <f t="shared" si="1"/>
        <v>43842</v>
      </c>
      <c r="D17" s="136" t="str">
        <f>IF(AND(WEEKDAY(C17)&gt;1,WEEKDAY(C17)&lt;7),IF(ISERROR(VLOOKUP(C17,Fridag!$B$7:$G$40,4,FALSE))=TRUE,normtid,IF(VLOOKUP(C17,Fridag!$B$7:$G$40,4,TRUE)=0,"ej sem",VLOOKUP(C17,Fridag!$B$7:$G$40,4,TRUE)*normtid)),"ej sem")</f>
        <v>ej sem</v>
      </c>
      <c r="E17" s="138" t="str">
        <f>IF(ISERROR(VLOOKUP(C17,Fridag!$B$7:$G$38,5,FALSE))=TRUE,"",VLOOKUP(C17,Fridag!$B$7:$G$38,5,TRUE))</f>
        <v/>
      </c>
      <c r="F17" s="137">
        <f t="shared" si="2"/>
        <v>43873</v>
      </c>
      <c r="G17" s="136">
        <f>IF(AND(WEEKDAY(F17)&gt;1,WEEKDAY(F17)&lt;7),IF(ISERROR(VLOOKUP(F17,Fridag!$B$7:$G$40,4,FALSE))=TRUE,normtid,IF(VLOOKUP(F17,Fridag!$B$7:$G$40,4,TRUE)=0,"ej sem",VLOOKUP(F17,Fridag!$B$7:$G$40,4,TRUE)*normtid)),"ej sem")</f>
        <v>8</v>
      </c>
      <c r="H17" s="138" t="str">
        <f>IF(ISERROR(VLOOKUP(F17,Fridag!$B$7:$G$38,5,FALSE))=TRUE,"",VLOOKUP(F17,Fridag!$B$7:$G$38,5,TRUE))</f>
        <v/>
      </c>
      <c r="I17" s="137">
        <f t="shared" si="3"/>
        <v>43902</v>
      </c>
      <c r="J17" s="136">
        <f>IF(AND(WEEKDAY(I17)&gt;1,WEEKDAY(I17)&lt;7),IF(ISERROR(VLOOKUP(I17,Fridag!$B$7:$G$40,4,FALSE))=TRUE,normtid,IF(VLOOKUP(I17,Fridag!$B$7:$G$40,4,TRUE)=0,"ej sem",VLOOKUP(I17,Fridag!$B$7:$G$40,4,TRUE)*normtid)),"ej sem")</f>
        <v>8</v>
      </c>
      <c r="K17" s="138" t="str">
        <f>IF(ISERROR(VLOOKUP(I17,Fridag!$B$7:$G$38,5,FALSE))=TRUE,"",VLOOKUP(I17,Fridag!$B$7:$G$38,5,TRUE))</f>
        <v/>
      </c>
      <c r="L17" s="137">
        <f t="shared" si="4"/>
        <v>43933</v>
      </c>
      <c r="M17" s="136" t="str">
        <f>IF(AND(WEEKDAY(L17)&gt;1,WEEKDAY(L17)&lt;7),IF(ISERROR(VLOOKUP(L17,Fridag!$B$7:$G$40,4,FALSE))=TRUE,normtid,IF(VLOOKUP(L17,Fridag!$B$7:$G$40,4,TRUE)=0,"ej sem",VLOOKUP(L17,Fridag!$B$7:$G$40,4,TRUE)*normtid)),"ej sem")</f>
        <v>ej sem</v>
      </c>
      <c r="N17" s="138" t="str">
        <f>IF(ISERROR(VLOOKUP(L17,Fridag!$B$7:$G$38,5,FALSE))=TRUE,"",VLOOKUP(L17,Fridag!$B$7:$G$38,5,TRUE))</f>
        <v/>
      </c>
      <c r="O17" s="137">
        <f t="shared" si="5"/>
        <v>43963</v>
      </c>
      <c r="P17" s="136">
        <f>IF(AND(WEEKDAY(O17)&gt;1,WEEKDAY(O17)&lt;7),IF(ISERROR(VLOOKUP(O17,Fridag!$B$7:$G$40,4,FALSE))=TRUE,normtid,IF(VLOOKUP(O17,Fridag!$B$7:$G$40,4,TRUE)=0,"ej sem",VLOOKUP(O17,Fridag!$B$7:$G$40,4,TRUE)*normtid)),"ej sem")</f>
        <v>8</v>
      </c>
      <c r="Q17" s="138" t="str">
        <f>IF(ISERROR(VLOOKUP(O17,Fridag!$B$7:$G$38,5,FALSE))=TRUE,"",VLOOKUP(O17,Fridag!$B$7:$G$38,5,TRUE))</f>
        <v/>
      </c>
      <c r="R17" s="137">
        <f t="shared" si="6"/>
        <v>43994</v>
      </c>
      <c r="S17" s="136">
        <f>IF(AND(WEEKDAY(R17)&gt;1,WEEKDAY(R17)&lt;7),IF(ISERROR(VLOOKUP(R17,Fridag!$B$7:$G$40,4,FALSE))=TRUE,normtid,IF(VLOOKUP(R17,Fridag!$B$7:$G$40,4,TRUE)=0,"ej sem",VLOOKUP(R17,Fridag!$B$7:$G$40,4,TRUE)*normtid)),"ej sem")</f>
        <v>8</v>
      </c>
      <c r="T17" s="138" t="str">
        <f>IF(ISERROR(VLOOKUP(R17,Fridag!$B$7:$G$38,5,FALSE))=TRUE,"",VLOOKUP(R17,Fridag!$B$7:$G$38,5,TRUE))</f>
        <v/>
      </c>
      <c r="U17" s="137">
        <f t="shared" si="0"/>
        <v>44024</v>
      </c>
      <c r="V17" s="136" t="str">
        <f>IF(AND(WEEKDAY(U17)&gt;1,WEEKDAY(U17)&lt;7),IF(ISERROR(VLOOKUP(U17,Fridag!$B$7:$G$40,4,FALSE))=TRUE,normtid,IF(VLOOKUP(U17,Fridag!$B$7:$G$40,4,TRUE)=0,"ej sem",VLOOKUP(U17,Fridag!$B$7:$G$40,4,TRUE)*normtid)),"ej sem")</f>
        <v>ej sem</v>
      </c>
      <c r="W17" s="138" t="str">
        <f>IF(ISERROR(VLOOKUP(U17,Fridag!$B$7:$G$38,5,FALSE))=TRUE,"",VLOOKUP(U17,Fridag!$B$7:$G$38,5,TRUE))</f>
        <v/>
      </c>
      <c r="X17" s="137">
        <f t="shared" si="7"/>
        <v>44055</v>
      </c>
      <c r="Y17" s="136">
        <f>IF(AND(WEEKDAY(X17)&gt;1,WEEKDAY(X17)&lt;7),IF(ISERROR(VLOOKUP(X17,Fridag!$B$7:$G$40,4,FALSE))=TRUE,normtid,IF(VLOOKUP(X17,Fridag!$B$7:$G$40,4,TRUE)=0,"ej sem",VLOOKUP(X17,Fridag!$B$7:$G$40,4,TRUE)*normtid)),"ej sem")</f>
        <v>8</v>
      </c>
      <c r="Z17" s="138" t="str">
        <f>IF(ISERROR(VLOOKUP(X17,Fridag!$B$7:$G$38,5,FALSE))=TRUE,"",VLOOKUP(X17,Fridag!$B$7:$G$38,5,TRUE))</f>
        <v/>
      </c>
      <c r="AA17" s="137">
        <f t="shared" si="8"/>
        <v>44086</v>
      </c>
      <c r="AB17" s="136">
        <f>IF(AND(WEEKDAY(AA17)&gt;1,WEEKDAY(AA17)&lt;7),IF(ISERROR(VLOOKUP(AA17,Fridag!$B$7:$G$40,4,FALSE))=TRUE,normtid,IF(VLOOKUP(AA17,Fridag!$B$7:$G$40,4,TRUE)=0,"ej sem",VLOOKUP(AA17,Fridag!$B$7:$G$40,4,TRUE)*normtid)),"ej sem")</f>
        <v>8</v>
      </c>
      <c r="AC17" s="138" t="str">
        <f>IF(ISERROR(VLOOKUP(AA17,Fridag!$B$7:$G$38,5,FALSE))=TRUE,"",VLOOKUP(AA17,Fridag!$B$7:$G$38,5,TRUE))</f>
        <v/>
      </c>
      <c r="AD17" s="137">
        <f t="shared" si="9"/>
        <v>44116</v>
      </c>
      <c r="AE17" s="136" t="str">
        <f>IF(AND(WEEKDAY(AD17)&gt;1,WEEKDAY(AD17)&lt;7),IF(ISERROR(VLOOKUP(AD17,Fridag!$B$7:$G$40,4,FALSE))=TRUE,normtid,IF(VLOOKUP(AD17,Fridag!$B$7:$G$40,4,TRUE)=0,"ej sem",VLOOKUP(AD17,Fridag!$B$7:$G$40,4,TRUE)*normtid)),"ej sem")</f>
        <v>ej sem</v>
      </c>
      <c r="AF17" s="138" t="str">
        <f>IF(ISERROR(VLOOKUP(AD17,Fridag!$B$7:$G$38,5,FALSE))=TRUE,"",VLOOKUP(AD17,Fridag!$B$7:$G$38,5,TRUE))</f>
        <v/>
      </c>
      <c r="AG17" s="137">
        <f t="shared" si="10"/>
        <v>44147</v>
      </c>
      <c r="AH17" s="136">
        <f>IF(AND(WEEKDAY(AG17)&gt;1,WEEKDAY(AG17)&lt;7),IF(ISERROR(VLOOKUP(AG17,Fridag!$B$7:$G$40,4,FALSE))=TRUE,normtid,IF(VLOOKUP(AG17,Fridag!$B$7:$G$40,4,TRUE)=0,"ej sem",VLOOKUP(AG17,Fridag!$B$7:$G$40,4,TRUE)*normtid)),"ej sem")</f>
        <v>8</v>
      </c>
      <c r="AI17" s="138" t="str">
        <f>IF(ISERROR(VLOOKUP(AG17,Fridag!$B$7:$G$38,5,FALSE))=TRUE,"",VLOOKUP(AG17,Fridag!$B$7:$G$38,5,TRUE))</f>
        <v/>
      </c>
      <c r="AJ17" s="137">
        <f t="shared" si="11"/>
        <v>44177</v>
      </c>
      <c r="AK17" s="136">
        <f>IF(AND(WEEKDAY(AJ17)&gt;1,WEEKDAY(AJ17)&lt;7),IF(ISERROR(VLOOKUP(AJ17,Fridag!$B$7:$G$40,4,FALSE))=TRUE,normtid,IF(VLOOKUP(AJ17,Fridag!$B$7:$G$40,4,TRUE)=0,"ej sem",VLOOKUP(AJ17,Fridag!$B$7:$G$40,4,TRUE)*normtid)),"ej sem")</f>
        <v>8</v>
      </c>
      <c r="AL17" s="138" t="str">
        <f>IF(ISERROR(VLOOKUP(AJ17,Fridag!$B$7:$G$38,5,FALSE))=TRUE,"",VLOOKUP(AJ17,Fridag!$B$7:$G$38,5,TRUE))</f>
        <v/>
      </c>
      <c r="AM17" s="471"/>
    </row>
    <row r="18" spans="1:39" s="472" customFormat="1">
      <c r="A18" s="122"/>
      <c r="B18" s="122"/>
      <c r="C18" s="135">
        <f t="shared" si="1"/>
        <v>43843</v>
      </c>
      <c r="D18" s="136" t="str">
        <f>IF(AND(WEEKDAY(C18)&gt;1,WEEKDAY(C18)&lt;7),IF(ISERROR(VLOOKUP(C18,Fridag!$B$7:$G$40,4,FALSE))=TRUE,normtid,IF(VLOOKUP(C18,Fridag!$B$7:$G$40,4,TRUE)=0,"ej sem",VLOOKUP(C18,Fridag!$B$7:$G$40,4,TRUE)*normtid)),"ej sem")</f>
        <v>ej sem</v>
      </c>
      <c r="E18" s="138" t="str">
        <f>IF(ISERROR(VLOOKUP(C18,Fridag!$B$7:$G$38,5,FALSE))=TRUE,"",VLOOKUP(C18,Fridag!$B$7:$G$38,5,TRUE))</f>
        <v/>
      </c>
      <c r="F18" s="137">
        <f t="shared" si="2"/>
        <v>43874</v>
      </c>
      <c r="G18" s="136">
        <f>IF(AND(WEEKDAY(F18)&gt;1,WEEKDAY(F18)&lt;7),IF(ISERROR(VLOOKUP(F18,Fridag!$B$7:$G$40,4,FALSE))=TRUE,normtid,IF(VLOOKUP(F18,Fridag!$B$7:$G$40,4,TRUE)=0,"ej sem",VLOOKUP(F18,Fridag!$B$7:$G$40,4,TRUE)*normtid)),"ej sem")</f>
        <v>8</v>
      </c>
      <c r="H18" s="138" t="str">
        <f>IF(ISERROR(VLOOKUP(F18,Fridag!$B$7:$G$38,5,FALSE))=TRUE,"",VLOOKUP(F18,Fridag!$B$7:$G$38,5,TRUE))</f>
        <v/>
      </c>
      <c r="I18" s="137">
        <f t="shared" si="3"/>
        <v>43903</v>
      </c>
      <c r="J18" s="136">
        <f>IF(AND(WEEKDAY(I18)&gt;1,WEEKDAY(I18)&lt;7),IF(ISERROR(VLOOKUP(I18,Fridag!$B$7:$G$40,4,FALSE))=TRUE,normtid,IF(VLOOKUP(I18,Fridag!$B$7:$G$40,4,TRUE)=0,"ej sem",VLOOKUP(I18,Fridag!$B$7:$G$40,4,TRUE)*normtid)),"ej sem")</f>
        <v>8</v>
      </c>
      <c r="K18" s="138" t="str">
        <f>IF(ISERROR(VLOOKUP(I18,Fridag!$B$7:$G$38,5,FALSE))=TRUE,"",VLOOKUP(I18,Fridag!$B$7:$G$38,5,TRUE))</f>
        <v/>
      </c>
      <c r="L18" s="137">
        <f t="shared" si="4"/>
        <v>43934</v>
      </c>
      <c r="M18" s="136" t="str">
        <f>IF(AND(WEEKDAY(L18)&gt;1,WEEKDAY(L18)&lt;7),IF(ISERROR(VLOOKUP(L18,Fridag!$B$7:$G$40,4,FALSE))=TRUE,normtid,IF(VLOOKUP(L18,Fridag!$B$7:$G$40,4,TRUE)=0,"ej sem",VLOOKUP(L18,Fridag!$B$7:$G$40,4,TRUE)*normtid)),"ej sem")</f>
        <v>ej sem</v>
      </c>
      <c r="N18" s="138" t="str">
        <f>IF(ISERROR(VLOOKUP(L18,Fridag!$B$7:$G$38,5,FALSE))=TRUE,"",VLOOKUP(L18,Fridag!$B$7:$G$38,5,TRUE))</f>
        <v/>
      </c>
      <c r="O18" s="137">
        <f t="shared" si="5"/>
        <v>43964</v>
      </c>
      <c r="P18" s="136">
        <f>IF(AND(WEEKDAY(O18)&gt;1,WEEKDAY(O18)&lt;7),IF(ISERROR(VLOOKUP(O18,Fridag!$B$7:$G$40,4,FALSE))=TRUE,normtid,IF(VLOOKUP(O18,Fridag!$B$7:$G$40,4,TRUE)=0,"ej sem",VLOOKUP(O18,Fridag!$B$7:$G$40,4,TRUE)*normtid)),"ej sem")</f>
        <v>8</v>
      </c>
      <c r="Q18" s="138" t="str">
        <f>IF(ISERROR(VLOOKUP(O18,Fridag!$B$7:$G$38,5,FALSE))=TRUE,"",VLOOKUP(O18,Fridag!$B$7:$G$38,5,TRUE))</f>
        <v/>
      </c>
      <c r="R18" s="137">
        <f t="shared" si="6"/>
        <v>43995</v>
      </c>
      <c r="S18" s="136">
        <f>IF(AND(WEEKDAY(R18)&gt;1,WEEKDAY(R18)&lt;7),IF(ISERROR(VLOOKUP(R18,Fridag!$B$7:$G$40,4,FALSE))=TRUE,normtid,IF(VLOOKUP(R18,Fridag!$B$7:$G$40,4,TRUE)=0,"ej sem",VLOOKUP(R18,Fridag!$B$7:$G$40,4,TRUE)*normtid)),"ej sem")</f>
        <v>8</v>
      </c>
      <c r="T18" s="138" t="str">
        <f>IF(ISERROR(VLOOKUP(R18,Fridag!$B$7:$G$38,5,FALSE))=TRUE,"",VLOOKUP(R18,Fridag!$B$7:$G$38,5,TRUE))</f>
        <v/>
      </c>
      <c r="U18" s="137">
        <f t="shared" si="0"/>
        <v>44025</v>
      </c>
      <c r="V18" s="136" t="str">
        <f>IF(AND(WEEKDAY(U18)&gt;1,WEEKDAY(U18)&lt;7),IF(ISERROR(VLOOKUP(U18,Fridag!$B$7:$G$40,4,FALSE))=TRUE,normtid,IF(VLOOKUP(U18,Fridag!$B$7:$G$40,4,TRUE)=0,"ej sem",VLOOKUP(U18,Fridag!$B$7:$G$40,4,TRUE)*normtid)),"ej sem")</f>
        <v>ej sem</v>
      </c>
      <c r="W18" s="138" t="str">
        <f>IF(ISERROR(VLOOKUP(U18,Fridag!$B$7:$G$38,5,FALSE))=TRUE,"",VLOOKUP(U18,Fridag!$B$7:$G$38,5,TRUE))</f>
        <v/>
      </c>
      <c r="X18" s="137">
        <f t="shared" si="7"/>
        <v>44056</v>
      </c>
      <c r="Y18" s="136">
        <f>IF(AND(WEEKDAY(X18)&gt;1,WEEKDAY(X18)&lt;7),IF(ISERROR(VLOOKUP(X18,Fridag!$B$7:$G$40,4,FALSE))=TRUE,normtid,IF(VLOOKUP(X18,Fridag!$B$7:$G$40,4,TRUE)=0,"ej sem",VLOOKUP(X18,Fridag!$B$7:$G$40,4,TRUE)*normtid)),"ej sem")</f>
        <v>8</v>
      </c>
      <c r="Z18" s="138" t="str">
        <f>IF(ISERROR(VLOOKUP(X18,Fridag!$B$7:$G$38,5,FALSE))=TRUE,"",VLOOKUP(X18,Fridag!$B$7:$G$38,5,TRUE))</f>
        <v/>
      </c>
      <c r="AA18" s="137">
        <f t="shared" si="8"/>
        <v>44087</v>
      </c>
      <c r="AB18" s="136" t="str">
        <f>IF(AND(WEEKDAY(AA18)&gt;1,WEEKDAY(AA18)&lt;7),IF(ISERROR(VLOOKUP(AA18,Fridag!$B$7:$G$40,4,FALSE))=TRUE,normtid,IF(VLOOKUP(AA18,Fridag!$B$7:$G$40,4,TRUE)=0,"ej sem",VLOOKUP(AA18,Fridag!$B$7:$G$40,4,TRUE)*normtid)),"ej sem")</f>
        <v>ej sem</v>
      </c>
      <c r="AC18" s="138" t="str">
        <f>IF(ISERROR(VLOOKUP(AA18,Fridag!$B$7:$G$38,5,FALSE))=TRUE,"",VLOOKUP(AA18,Fridag!$B$7:$G$38,5,TRUE))</f>
        <v/>
      </c>
      <c r="AD18" s="137">
        <f t="shared" si="9"/>
        <v>44117</v>
      </c>
      <c r="AE18" s="136">
        <f>IF(AND(WEEKDAY(AD18)&gt;1,WEEKDAY(AD18)&lt;7),IF(ISERROR(VLOOKUP(AD18,Fridag!$B$7:$G$40,4,FALSE))=TRUE,normtid,IF(VLOOKUP(AD18,Fridag!$B$7:$G$40,4,TRUE)=0,"ej sem",VLOOKUP(AD18,Fridag!$B$7:$G$40,4,TRUE)*normtid)),"ej sem")</f>
        <v>8</v>
      </c>
      <c r="AF18" s="138" t="str">
        <f>IF(ISERROR(VLOOKUP(AD18,Fridag!$B$7:$G$38,5,FALSE))=TRUE,"",VLOOKUP(AD18,Fridag!$B$7:$G$38,5,TRUE))</f>
        <v/>
      </c>
      <c r="AG18" s="137">
        <f t="shared" si="10"/>
        <v>44148</v>
      </c>
      <c r="AH18" s="136">
        <f>IF(AND(WEEKDAY(AG18)&gt;1,WEEKDAY(AG18)&lt;7),IF(ISERROR(VLOOKUP(AG18,Fridag!$B$7:$G$40,4,FALSE))=TRUE,normtid,IF(VLOOKUP(AG18,Fridag!$B$7:$G$40,4,TRUE)=0,"ej sem",VLOOKUP(AG18,Fridag!$B$7:$G$40,4,TRUE)*normtid)),"ej sem")</f>
        <v>8</v>
      </c>
      <c r="AI18" s="138" t="str">
        <f>IF(ISERROR(VLOOKUP(AG18,Fridag!$B$7:$G$38,5,FALSE))=TRUE,"",VLOOKUP(AG18,Fridag!$B$7:$G$38,5,TRUE))</f>
        <v/>
      </c>
      <c r="AJ18" s="137">
        <f t="shared" si="11"/>
        <v>44178</v>
      </c>
      <c r="AK18" s="136" t="str">
        <f>IF(AND(WEEKDAY(AJ18)&gt;1,WEEKDAY(AJ18)&lt;7),IF(ISERROR(VLOOKUP(AJ18,Fridag!$B$7:$G$40,4,FALSE))=TRUE,normtid,IF(VLOOKUP(AJ18,Fridag!$B$7:$G$40,4,TRUE)=0,"ej sem",VLOOKUP(AJ18,Fridag!$B$7:$G$40,4,TRUE)*normtid)),"ej sem")</f>
        <v>ej sem</v>
      </c>
      <c r="AL18" s="138" t="str">
        <f>IF(ISERROR(VLOOKUP(AJ18,Fridag!$B$7:$G$38,5,FALSE))=TRUE,"",VLOOKUP(AJ18,Fridag!$B$7:$G$38,5,TRUE))</f>
        <v/>
      </c>
      <c r="AM18" s="471"/>
    </row>
    <row r="19" spans="1:39" s="472" customFormat="1">
      <c r="A19" s="122"/>
      <c r="B19" s="122"/>
      <c r="C19" s="135">
        <f t="shared" si="1"/>
        <v>43844</v>
      </c>
      <c r="D19" s="136">
        <f>IF(AND(WEEKDAY(C19)&gt;1,WEEKDAY(C19)&lt;7),IF(ISERROR(VLOOKUP(C19,Fridag!$B$7:$G$40,4,FALSE))=TRUE,normtid,IF(VLOOKUP(C19,Fridag!$B$7:$G$40,4,TRUE)=0,"ej sem",VLOOKUP(C19,Fridag!$B$7:$G$40,4,TRUE)*normtid)),"ej sem")</f>
        <v>8</v>
      </c>
      <c r="E19" s="138" t="str">
        <f>IF(ISERROR(VLOOKUP(C19,Fridag!$B$7:$G$38,5,FALSE))=TRUE,"",VLOOKUP(C19,Fridag!$B$7:$G$38,5,TRUE))</f>
        <v/>
      </c>
      <c r="F19" s="137">
        <f t="shared" si="2"/>
        <v>43875</v>
      </c>
      <c r="G19" s="136">
        <f>IF(AND(WEEKDAY(F19)&gt;1,WEEKDAY(F19)&lt;7),IF(ISERROR(VLOOKUP(F19,Fridag!$B$7:$G$40,4,FALSE))=TRUE,normtid,IF(VLOOKUP(F19,Fridag!$B$7:$G$40,4,TRUE)=0,"ej sem",VLOOKUP(F19,Fridag!$B$7:$G$40,4,TRUE)*normtid)),"ej sem")</f>
        <v>8</v>
      </c>
      <c r="H19" s="138" t="str">
        <f>IF(ISERROR(VLOOKUP(F19,Fridag!$B$7:$G$38,5,FALSE))=TRUE,"",VLOOKUP(F19,Fridag!$B$7:$G$38,5,TRUE))</f>
        <v/>
      </c>
      <c r="I19" s="137">
        <f t="shared" si="3"/>
        <v>43904</v>
      </c>
      <c r="J19" s="136">
        <f>IF(AND(WEEKDAY(I19)&gt;1,WEEKDAY(I19)&lt;7),IF(ISERROR(VLOOKUP(I19,Fridag!$B$7:$G$40,4,FALSE))=TRUE,normtid,IF(VLOOKUP(I19,Fridag!$B$7:$G$40,4,TRUE)=0,"ej sem",VLOOKUP(I19,Fridag!$B$7:$G$40,4,TRUE)*normtid)),"ej sem")</f>
        <v>8</v>
      </c>
      <c r="K19" s="138" t="str">
        <f>IF(ISERROR(VLOOKUP(I19,Fridag!$B$7:$G$38,5,FALSE))=TRUE,"",VLOOKUP(I19,Fridag!$B$7:$G$38,5,TRUE))</f>
        <v/>
      </c>
      <c r="L19" s="137">
        <f t="shared" si="4"/>
        <v>43935</v>
      </c>
      <c r="M19" s="136">
        <f>IF(AND(WEEKDAY(L19)&gt;1,WEEKDAY(L19)&lt;7),IF(ISERROR(VLOOKUP(L19,Fridag!$B$7:$G$40,4,FALSE))=TRUE,normtid,IF(VLOOKUP(L19,Fridag!$B$7:$G$40,4,TRUE)=0,"ej sem",VLOOKUP(L19,Fridag!$B$7:$G$40,4,TRUE)*normtid)),"ej sem")</f>
        <v>8</v>
      </c>
      <c r="N19" s="138" t="str">
        <f>IF(ISERROR(VLOOKUP(L19,Fridag!$B$7:$G$38,5,FALSE))=TRUE,"",VLOOKUP(L19,Fridag!$B$7:$G$38,5,TRUE))</f>
        <v/>
      </c>
      <c r="O19" s="137">
        <f t="shared" si="5"/>
        <v>43965</v>
      </c>
      <c r="P19" s="136">
        <f>IF(AND(WEEKDAY(O19)&gt;1,WEEKDAY(O19)&lt;7),IF(ISERROR(VLOOKUP(O19,Fridag!$B$7:$G$40,4,FALSE))=TRUE,normtid,IF(VLOOKUP(O19,Fridag!$B$7:$G$40,4,TRUE)=0,"ej sem",VLOOKUP(O19,Fridag!$B$7:$G$40,4,TRUE)*normtid)),"ej sem")</f>
        <v>8</v>
      </c>
      <c r="Q19" s="138" t="str">
        <f>IF(ISERROR(VLOOKUP(O19,Fridag!$B$7:$G$38,5,FALSE))=TRUE,"",VLOOKUP(O19,Fridag!$B$7:$G$38,5,TRUE))</f>
        <v/>
      </c>
      <c r="R19" s="137">
        <f t="shared" si="6"/>
        <v>43996</v>
      </c>
      <c r="S19" s="136" t="str">
        <f>IF(AND(WEEKDAY(R19)&gt;1,WEEKDAY(R19)&lt;7),IF(ISERROR(VLOOKUP(R19,Fridag!$B$7:$G$40,4,FALSE))=TRUE,normtid,IF(VLOOKUP(R19,Fridag!$B$7:$G$40,4,TRUE)=0,"ej sem",VLOOKUP(R19,Fridag!$B$7:$G$40,4,TRUE)*normtid)),"ej sem")</f>
        <v>ej sem</v>
      </c>
      <c r="T19" s="138" t="str">
        <f>IF(ISERROR(VLOOKUP(R19,Fridag!$B$7:$G$38,5,FALSE))=TRUE,"",VLOOKUP(R19,Fridag!$B$7:$G$38,5,TRUE))</f>
        <v/>
      </c>
      <c r="U19" s="137">
        <f t="shared" si="0"/>
        <v>44026</v>
      </c>
      <c r="V19" s="136">
        <f>IF(AND(WEEKDAY(U19)&gt;1,WEEKDAY(U19)&lt;7),IF(ISERROR(VLOOKUP(U19,Fridag!$B$7:$G$40,4,FALSE))=TRUE,normtid,IF(VLOOKUP(U19,Fridag!$B$7:$G$40,4,TRUE)=0,"ej sem",VLOOKUP(U19,Fridag!$B$7:$G$40,4,TRUE)*normtid)),"ej sem")</f>
        <v>8</v>
      </c>
      <c r="W19" s="138" t="str">
        <f>IF(ISERROR(VLOOKUP(U19,Fridag!$B$7:$G$38,5,FALSE))=TRUE,"",VLOOKUP(U19,Fridag!$B$7:$G$38,5,TRUE))</f>
        <v/>
      </c>
      <c r="X19" s="137">
        <f t="shared" si="7"/>
        <v>44057</v>
      </c>
      <c r="Y19" s="136">
        <f>IF(AND(WEEKDAY(X19)&gt;1,WEEKDAY(X19)&lt;7),IF(ISERROR(VLOOKUP(X19,Fridag!$B$7:$G$40,4,FALSE))=TRUE,normtid,IF(VLOOKUP(X19,Fridag!$B$7:$G$40,4,TRUE)=0,"ej sem",VLOOKUP(X19,Fridag!$B$7:$G$40,4,TRUE)*normtid)),"ej sem")</f>
        <v>8</v>
      </c>
      <c r="Z19" s="138" t="str">
        <f>IF(ISERROR(VLOOKUP(X19,Fridag!$B$7:$G$38,5,FALSE))=TRUE,"",VLOOKUP(X19,Fridag!$B$7:$G$38,5,TRUE))</f>
        <v/>
      </c>
      <c r="AA19" s="137">
        <f t="shared" si="8"/>
        <v>44088</v>
      </c>
      <c r="AB19" s="136" t="str">
        <f>IF(AND(WEEKDAY(AA19)&gt;1,WEEKDAY(AA19)&lt;7),IF(ISERROR(VLOOKUP(AA19,Fridag!$B$7:$G$40,4,FALSE))=TRUE,normtid,IF(VLOOKUP(AA19,Fridag!$B$7:$G$40,4,TRUE)=0,"ej sem",VLOOKUP(AA19,Fridag!$B$7:$G$40,4,TRUE)*normtid)),"ej sem")</f>
        <v>ej sem</v>
      </c>
      <c r="AC19" s="138" t="str">
        <f>IF(ISERROR(VLOOKUP(AA19,Fridag!$B$7:$G$38,5,FALSE))=TRUE,"",VLOOKUP(AA19,Fridag!$B$7:$G$38,5,TRUE))</f>
        <v/>
      </c>
      <c r="AD19" s="137">
        <f t="shared" si="9"/>
        <v>44118</v>
      </c>
      <c r="AE19" s="136">
        <f>IF(AND(WEEKDAY(AD19)&gt;1,WEEKDAY(AD19)&lt;7),IF(ISERROR(VLOOKUP(AD19,Fridag!$B$7:$G$40,4,FALSE))=TRUE,normtid,IF(VLOOKUP(AD19,Fridag!$B$7:$G$40,4,TRUE)=0,"ej sem",VLOOKUP(AD19,Fridag!$B$7:$G$40,4,TRUE)*normtid)),"ej sem")</f>
        <v>8</v>
      </c>
      <c r="AF19" s="138" t="str">
        <f>IF(ISERROR(VLOOKUP(AD19,Fridag!$B$7:$G$38,5,FALSE))=TRUE,"",VLOOKUP(AD19,Fridag!$B$7:$G$38,5,TRUE))</f>
        <v/>
      </c>
      <c r="AG19" s="137">
        <f t="shared" si="10"/>
        <v>44149</v>
      </c>
      <c r="AH19" s="136">
        <f>IF(AND(WEEKDAY(AG19)&gt;1,WEEKDAY(AG19)&lt;7),IF(ISERROR(VLOOKUP(AG19,Fridag!$B$7:$G$40,4,FALSE))=TRUE,normtid,IF(VLOOKUP(AG19,Fridag!$B$7:$G$40,4,TRUE)=0,"ej sem",VLOOKUP(AG19,Fridag!$B$7:$G$40,4,TRUE)*normtid)),"ej sem")</f>
        <v>8</v>
      </c>
      <c r="AI19" s="138" t="str">
        <f>IF(ISERROR(VLOOKUP(AG19,Fridag!$B$7:$G$38,5,FALSE))=TRUE,"",VLOOKUP(AG19,Fridag!$B$7:$G$38,5,TRUE))</f>
        <v/>
      </c>
      <c r="AJ19" s="137">
        <f t="shared" si="11"/>
        <v>44179</v>
      </c>
      <c r="AK19" s="136" t="str">
        <f>IF(AND(WEEKDAY(AJ19)&gt;1,WEEKDAY(AJ19)&lt;7),IF(ISERROR(VLOOKUP(AJ19,Fridag!$B$7:$G$40,4,FALSE))=TRUE,normtid,IF(VLOOKUP(AJ19,Fridag!$B$7:$G$40,4,TRUE)=0,"ej sem",VLOOKUP(AJ19,Fridag!$B$7:$G$40,4,TRUE)*normtid)),"ej sem")</f>
        <v>ej sem</v>
      </c>
      <c r="AL19" s="138" t="str">
        <f>IF(ISERROR(VLOOKUP(AJ19,Fridag!$B$7:$G$38,5,FALSE))=TRUE,"",VLOOKUP(AJ19,Fridag!$B$7:$G$38,5,TRUE))</f>
        <v/>
      </c>
      <c r="AM19" s="471"/>
    </row>
    <row r="20" spans="1:39" s="472" customFormat="1">
      <c r="A20" s="122"/>
      <c r="B20" s="122"/>
      <c r="C20" s="135">
        <f t="shared" si="1"/>
        <v>43845</v>
      </c>
      <c r="D20" s="136">
        <f>IF(AND(WEEKDAY(C20)&gt;1,WEEKDAY(C20)&lt;7),IF(ISERROR(VLOOKUP(C20,Fridag!$B$7:$G$40,4,FALSE))=TRUE,normtid,IF(VLOOKUP(C20,Fridag!$B$7:$G$40,4,TRUE)=0,"ej sem",VLOOKUP(C20,Fridag!$B$7:$G$40,4,TRUE)*normtid)),"ej sem")</f>
        <v>8</v>
      </c>
      <c r="E20" s="138" t="str">
        <f>IF(ISERROR(VLOOKUP(C20,Fridag!$B$7:$G$38,5,FALSE))=TRUE,"",VLOOKUP(C20,Fridag!$B$7:$G$38,5,TRUE))</f>
        <v/>
      </c>
      <c r="F20" s="137">
        <f t="shared" si="2"/>
        <v>43876</v>
      </c>
      <c r="G20" s="136">
        <f>IF(AND(WEEKDAY(F20)&gt;1,WEEKDAY(F20)&lt;7),IF(ISERROR(VLOOKUP(F20,Fridag!$B$7:$G$40,4,FALSE))=TRUE,normtid,IF(VLOOKUP(F20,Fridag!$B$7:$G$40,4,TRUE)=0,"ej sem",VLOOKUP(F20,Fridag!$B$7:$G$40,4,TRUE)*normtid)),"ej sem")</f>
        <v>8</v>
      </c>
      <c r="H20" s="138" t="str">
        <f>IF(ISERROR(VLOOKUP(F20,Fridag!$B$7:$G$38,5,FALSE))=TRUE,"",VLOOKUP(F20,Fridag!$B$7:$G$38,5,TRUE))</f>
        <v/>
      </c>
      <c r="I20" s="137">
        <f t="shared" si="3"/>
        <v>43905</v>
      </c>
      <c r="J20" s="136" t="str">
        <f>IF(AND(WEEKDAY(I20)&gt;1,WEEKDAY(I20)&lt;7),IF(ISERROR(VLOOKUP(I20,Fridag!$B$7:$G$40,4,FALSE))=TRUE,normtid,IF(VLOOKUP(I20,Fridag!$B$7:$G$40,4,TRUE)=0,"ej sem",VLOOKUP(I20,Fridag!$B$7:$G$40,4,TRUE)*normtid)),"ej sem")</f>
        <v>ej sem</v>
      </c>
      <c r="K20" s="138" t="str">
        <f>IF(ISERROR(VLOOKUP(I20,Fridag!$B$7:$G$38,5,FALSE))=TRUE,"",VLOOKUP(I20,Fridag!$B$7:$G$38,5,TRUE))</f>
        <v/>
      </c>
      <c r="L20" s="137">
        <f t="shared" si="4"/>
        <v>43936</v>
      </c>
      <c r="M20" s="136">
        <f>IF(AND(WEEKDAY(L20)&gt;1,WEEKDAY(L20)&lt;7),IF(ISERROR(VLOOKUP(L20,Fridag!$B$7:$G$40,4,FALSE))=TRUE,normtid,IF(VLOOKUP(L20,Fridag!$B$7:$G$40,4,TRUE)=0,"ej sem",VLOOKUP(L20,Fridag!$B$7:$G$40,4,TRUE)*normtid)),"ej sem")</f>
        <v>8</v>
      </c>
      <c r="N20" s="138" t="str">
        <f>IF(ISERROR(VLOOKUP(L20,Fridag!$B$7:$G$38,5,FALSE))=TRUE,"",VLOOKUP(L20,Fridag!$B$7:$G$38,5,TRUE))</f>
        <v/>
      </c>
      <c r="O20" s="137">
        <f t="shared" si="5"/>
        <v>43966</v>
      </c>
      <c r="P20" s="136">
        <f>IF(AND(WEEKDAY(O20)&gt;1,WEEKDAY(O20)&lt;7),IF(ISERROR(VLOOKUP(O20,Fridag!$B$7:$G$40,4,FALSE))=TRUE,normtid,IF(VLOOKUP(O20,Fridag!$B$7:$G$40,4,TRUE)=0,"ej sem",VLOOKUP(O20,Fridag!$B$7:$G$40,4,TRUE)*normtid)),"ej sem")</f>
        <v>8</v>
      </c>
      <c r="Q20" s="138" t="str">
        <f>IF(ISERROR(VLOOKUP(O20,Fridag!$B$7:$G$38,5,FALSE))=TRUE,"",VLOOKUP(O20,Fridag!$B$7:$G$38,5,TRUE))</f>
        <v/>
      </c>
      <c r="R20" s="137">
        <f t="shared" si="6"/>
        <v>43997</v>
      </c>
      <c r="S20" s="136" t="str">
        <f>IF(AND(WEEKDAY(R20)&gt;1,WEEKDAY(R20)&lt;7),IF(ISERROR(VLOOKUP(R20,Fridag!$B$7:$G$40,4,FALSE))=TRUE,normtid,IF(VLOOKUP(R20,Fridag!$B$7:$G$40,4,TRUE)=0,"ej sem",VLOOKUP(R20,Fridag!$B$7:$G$40,4,TRUE)*normtid)),"ej sem")</f>
        <v>ej sem</v>
      </c>
      <c r="T20" s="138" t="str">
        <f>IF(ISERROR(VLOOKUP(R20,Fridag!$B$7:$G$38,5,FALSE))=TRUE,"",VLOOKUP(R20,Fridag!$B$7:$G$38,5,TRUE))</f>
        <v/>
      </c>
      <c r="U20" s="137">
        <f t="shared" si="0"/>
        <v>44027</v>
      </c>
      <c r="V20" s="136">
        <f>IF(AND(WEEKDAY(U20)&gt;1,WEEKDAY(U20)&lt;7),IF(ISERROR(VLOOKUP(U20,Fridag!$B$7:$G$40,4,FALSE))=TRUE,normtid,IF(VLOOKUP(U20,Fridag!$B$7:$G$40,4,TRUE)=0,"ej sem",VLOOKUP(U20,Fridag!$B$7:$G$40,4,TRUE)*normtid)),"ej sem")</f>
        <v>8</v>
      </c>
      <c r="W20" s="138" t="str">
        <f>IF(ISERROR(VLOOKUP(U20,Fridag!$B$7:$G$38,5,FALSE))=TRUE,"",VLOOKUP(U20,Fridag!$B$7:$G$38,5,TRUE))</f>
        <v/>
      </c>
      <c r="X20" s="137">
        <f t="shared" si="7"/>
        <v>44058</v>
      </c>
      <c r="Y20" s="136">
        <f>IF(AND(WEEKDAY(X20)&gt;1,WEEKDAY(X20)&lt;7),IF(ISERROR(VLOOKUP(X20,Fridag!$B$7:$G$40,4,FALSE))=TRUE,normtid,IF(VLOOKUP(X20,Fridag!$B$7:$G$40,4,TRUE)=0,"ej sem",VLOOKUP(X20,Fridag!$B$7:$G$40,4,TRUE)*normtid)),"ej sem")</f>
        <v>8</v>
      </c>
      <c r="Z20" s="138" t="str">
        <f>IF(ISERROR(VLOOKUP(X20,Fridag!$B$7:$G$38,5,FALSE))=TRUE,"",VLOOKUP(X20,Fridag!$B$7:$G$38,5,TRUE))</f>
        <v/>
      </c>
      <c r="AA20" s="137">
        <f t="shared" si="8"/>
        <v>44089</v>
      </c>
      <c r="AB20" s="136">
        <f>IF(AND(WEEKDAY(AA20)&gt;1,WEEKDAY(AA20)&lt;7),IF(ISERROR(VLOOKUP(AA20,Fridag!$B$7:$G$40,4,FALSE))=TRUE,normtid,IF(VLOOKUP(AA20,Fridag!$B$7:$G$40,4,TRUE)=0,"ej sem",VLOOKUP(AA20,Fridag!$B$7:$G$40,4,TRUE)*normtid)),"ej sem")</f>
        <v>8</v>
      </c>
      <c r="AC20" s="138" t="str">
        <f>IF(ISERROR(VLOOKUP(AA20,Fridag!$B$7:$G$38,5,FALSE))=TRUE,"",VLOOKUP(AA20,Fridag!$B$7:$G$38,5,TRUE))</f>
        <v/>
      </c>
      <c r="AD20" s="137">
        <f t="shared" si="9"/>
        <v>44119</v>
      </c>
      <c r="AE20" s="136">
        <f>IF(AND(WEEKDAY(AD20)&gt;1,WEEKDAY(AD20)&lt;7),IF(ISERROR(VLOOKUP(AD20,Fridag!$B$7:$G$40,4,FALSE))=TRUE,normtid,IF(VLOOKUP(AD20,Fridag!$B$7:$G$40,4,TRUE)=0,"ej sem",VLOOKUP(AD20,Fridag!$B$7:$G$40,4,TRUE)*normtid)),"ej sem")</f>
        <v>8</v>
      </c>
      <c r="AF20" s="138" t="str">
        <f>IF(ISERROR(VLOOKUP(AD20,Fridag!$B$7:$G$38,5,FALSE))=TRUE,"",VLOOKUP(AD20,Fridag!$B$7:$G$38,5,TRUE))</f>
        <v/>
      </c>
      <c r="AG20" s="137">
        <f t="shared" si="10"/>
        <v>44150</v>
      </c>
      <c r="AH20" s="136" t="str">
        <f>IF(AND(WEEKDAY(AG20)&gt;1,WEEKDAY(AG20)&lt;7),IF(ISERROR(VLOOKUP(AG20,Fridag!$B$7:$G$40,4,FALSE))=TRUE,normtid,IF(VLOOKUP(AG20,Fridag!$B$7:$G$40,4,TRUE)=0,"ej sem",VLOOKUP(AG20,Fridag!$B$7:$G$40,4,TRUE)*normtid)),"ej sem")</f>
        <v>ej sem</v>
      </c>
      <c r="AI20" s="138" t="str">
        <f>IF(ISERROR(VLOOKUP(AG20,Fridag!$B$7:$G$38,5,FALSE))=TRUE,"",VLOOKUP(AG20,Fridag!$B$7:$G$38,5,TRUE))</f>
        <v/>
      </c>
      <c r="AJ20" s="137">
        <f t="shared" si="11"/>
        <v>44180</v>
      </c>
      <c r="AK20" s="136">
        <f>IF(AND(WEEKDAY(AJ20)&gt;1,WEEKDAY(AJ20)&lt;7),IF(ISERROR(VLOOKUP(AJ20,Fridag!$B$7:$G$40,4,FALSE))=TRUE,normtid,IF(VLOOKUP(AJ20,Fridag!$B$7:$G$40,4,TRUE)=0,"ej sem",VLOOKUP(AJ20,Fridag!$B$7:$G$40,4,TRUE)*normtid)),"ej sem")</f>
        <v>8</v>
      </c>
      <c r="AL20" s="138" t="str">
        <f>IF(ISERROR(VLOOKUP(AJ20,Fridag!$B$7:$G$38,5,FALSE))=TRUE,"",VLOOKUP(AJ20,Fridag!$B$7:$G$38,5,TRUE))</f>
        <v/>
      </c>
      <c r="AM20" s="471"/>
    </row>
    <row r="21" spans="1:39" s="472" customFormat="1">
      <c r="A21" s="122"/>
      <c r="B21" s="122"/>
      <c r="C21" s="135">
        <f t="shared" si="1"/>
        <v>43846</v>
      </c>
      <c r="D21" s="136">
        <f>IF(AND(WEEKDAY(C21)&gt;1,WEEKDAY(C21)&lt;7),IF(ISERROR(VLOOKUP(C21,Fridag!$B$7:$G$40,4,FALSE))=TRUE,normtid,IF(VLOOKUP(C21,Fridag!$B$7:$G$40,4,TRUE)=0,"ej sem",VLOOKUP(C21,Fridag!$B$7:$G$40,4,TRUE)*normtid)),"ej sem")</f>
        <v>8</v>
      </c>
      <c r="E21" s="138" t="str">
        <f>IF(ISERROR(VLOOKUP(C21,Fridag!$B$7:$G$38,5,FALSE))=TRUE,"",VLOOKUP(C21,Fridag!$B$7:$G$38,5,TRUE))</f>
        <v/>
      </c>
      <c r="F21" s="137">
        <f t="shared" si="2"/>
        <v>43877</v>
      </c>
      <c r="G21" s="136" t="str">
        <f>IF(AND(WEEKDAY(F21)&gt;1,WEEKDAY(F21)&lt;7),IF(ISERROR(VLOOKUP(F21,Fridag!$B$7:$G$40,4,FALSE))=TRUE,normtid,IF(VLOOKUP(F21,Fridag!$B$7:$G$40,4,TRUE)=0,"ej sem",VLOOKUP(F21,Fridag!$B$7:$G$40,4,TRUE)*normtid)),"ej sem")</f>
        <v>ej sem</v>
      </c>
      <c r="H21" s="138" t="str">
        <f>IF(ISERROR(VLOOKUP(F21,Fridag!$B$7:$G$38,5,FALSE))=TRUE,"",VLOOKUP(F21,Fridag!$B$7:$G$38,5,TRUE))</f>
        <v/>
      </c>
      <c r="I21" s="137">
        <f t="shared" si="3"/>
        <v>43906</v>
      </c>
      <c r="J21" s="136" t="str">
        <f>IF(AND(WEEKDAY(I21)&gt;1,WEEKDAY(I21)&lt;7),IF(ISERROR(VLOOKUP(I21,Fridag!$B$7:$G$40,4,FALSE))=TRUE,normtid,IF(VLOOKUP(I21,Fridag!$B$7:$G$40,4,TRUE)=0,"ej sem",VLOOKUP(I21,Fridag!$B$7:$G$40,4,TRUE)*normtid)),"ej sem")</f>
        <v>ej sem</v>
      </c>
      <c r="K21" s="138" t="str">
        <f>IF(ISERROR(VLOOKUP(I21,Fridag!$B$7:$G$38,5,FALSE))=TRUE,"",VLOOKUP(I21,Fridag!$B$7:$G$38,5,TRUE))</f>
        <v/>
      </c>
      <c r="L21" s="137">
        <f t="shared" si="4"/>
        <v>43937</v>
      </c>
      <c r="M21" s="136">
        <f>IF(AND(WEEKDAY(L21)&gt;1,WEEKDAY(L21)&lt;7),IF(ISERROR(VLOOKUP(L21,Fridag!$B$7:$G$40,4,FALSE))=TRUE,normtid,IF(VLOOKUP(L21,Fridag!$B$7:$G$40,4,TRUE)=0,"ej sem",VLOOKUP(L21,Fridag!$B$7:$G$40,4,TRUE)*normtid)),"ej sem")</f>
        <v>8</v>
      </c>
      <c r="N21" s="138" t="str">
        <f>IF(ISERROR(VLOOKUP(L21,Fridag!$B$7:$G$38,5,FALSE))=TRUE,"",VLOOKUP(L21,Fridag!$B$7:$G$38,5,TRUE))</f>
        <v/>
      </c>
      <c r="O21" s="137">
        <f t="shared" si="5"/>
        <v>43967</v>
      </c>
      <c r="P21" s="136">
        <f>IF(AND(WEEKDAY(O21)&gt;1,WEEKDAY(O21)&lt;7),IF(ISERROR(VLOOKUP(O21,Fridag!$B$7:$G$40,4,FALSE))=TRUE,normtid,IF(VLOOKUP(O21,Fridag!$B$7:$G$40,4,TRUE)=0,"ej sem",VLOOKUP(O21,Fridag!$B$7:$G$40,4,TRUE)*normtid)),"ej sem")</f>
        <v>8</v>
      </c>
      <c r="Q21" s="138" t="str">
        <f>IF(ISERROR(VLOOKUP(O21,Fridag!$B$7:$G$38,5,FALSE))=TRUE,"",VLOOKUP(O21,Fridag!$B$7:$G$38,5,TRUE))</f>
        <v/>
      </c>
      <c r="R21" s="137">
        <f t="shared" si="6"/>
        <v>43998</v>
      </c>
      <c r="S21" s="136">
        <f>IF(AND(WEEKDAY(R21)&gt;1,WEEKDAY(R21)&lt;7),IF(ISERROR(VLOOKUP(R21,Fridag!$B$7:$G$40,4,FALSE))=TRUE,normtid,IF(VLOOKUP(R21,Fridag!$B$7:$G$40,4,TRUE)=0,"ej sem",VLOOKUP(R21,Fridag!$B$7:$G$40,4,TRUE)*normtid)),"ej sem")</f>
        <v>8</v>
      </c>
      <c r="T21" s="138" t="str">
        <f>IF(ISERROR(VLOOKUP(R21,Fridag!$B$7:$G$38,5,FALSE))=TRUE,"",VLOOKUP(R21,Fridag!$B$7:$G$38,5,TRUE))</f>
        <v/>
      </c>
      <c r="U21" s="137">
        <f t="shared" si="0"/>
        <v>44028</v>
      </c>
      <c r="V21" s="136">
        <f>IF(AND(WEEKDAY(U21)&gt;1,WEEKDAY(U21)&lt;7),IF(ISERROR(VLOOKUP(U21,Fridag!$B$7:$G$40,4,FALSE))=TRUE,normtid,IF(VLOOKUP(U21,Fridag!$B$7:$G$40,4,TRUE)=0,"ej sem",VLOOKUP(U21,Fridag!$B$7:$G$40,4,TRUE)*normtid)),"ej sem")</f>
        <v>8</v>
      </c>
      <c r="W21" s="138" t="str">
        <f>IF(ISERROR(VLOOKUP(U21,Fridag!$B$7:$G$38,5,FALSE))=TRUE,"",VLOOKUP(U21,Fridag!$B$7:$G$38,5,TRUE))</f>
        <v/>
      </c>
      <c r="X21" s="137">
        <f t="shared" si="7"/>
        <v>44059</v>
      </c>
      <c r="Y21" s="136" t="str">
        <f>IF(AND(WEEKDAY(X21)&gt;1,WEEKDAY(X21)&lt;7),IF(ISERROR(VLOOKUP(X21,Fridag!$B$7:$G$40,4,FALSE))=TRUE,normtid,IF(VLOOKUP(X21,Fridag!$B$7:$G$40,4,TRUE)=0,"ej sem",VLOOKUP(X21,Fridag!$B$7:$G$40,4,TRUE)*normtid)),"ej sem")</f>
        <v>ej sem</v>
      </c>
      <c r="Z21" s="138" t="str">
        <f>IF(ISERROR(VLOOKUP(X21,Fridag!$B$7:$G$38,5,FALSE))=TRUE,"",VLOOKUP(X21,Fridag!$B$7:$G$38,5,TRUE))</f>
        <v/>
      </c>
      <c r="AA21" s="137">
        <f t="shared" si="8"/>
        <v>44090</v>
      </c>
      <c r="AB21" s="136">
        <f>IF(AND(WEEKDAY(AA21)&gt;1,WEEKDAY(AA21)&lt;7),IF(ISERROR(VLOOKUP(AA21,Fridag!$B$7:$G$40,4,FALSE))=TRUE,normtid,IF(VLOOKUP(AA21,Fridag!$B$7:$G$40,4,TRUE)=0,"ej sem",VLOOKUP(AA21,Fridag!$B$7:$G$40,4,TRUE)*normtid)),"ej sem")</f>
        <v>8</v>
      </c>
      <c r="AC21" s="138" t="str">
        <f>IF(ISERROR(VLOOKUP(AA21,Fridag!$B$7:$G$38,5,FALSE))=TRUE,"",VLOOKUP(AA21,Fridag!$B$7:$G$38,5,TRUE))</f>
        <v/>
      </c>
      <c r="AD21" s="137">
        <f t="shared" si="9"/>
        <v>44120</v>
      </c>
      <c r="AE21" s="136">
        <f>IF(AND(WEEKDAY(AD21)&gt;1,WEEKDAY(AD21)&lt;7),IF(ISERROR(VLOOKUP(AD21,Fridag!$B$7:$G$40,4,FALSE))=TRUE,normtid,IF(VLOOKUP(AD21,Fridag!$B$7:$G$40,4,TRUE)=0,"ej sem",VLOOKUP(AD21,Fridag!$B$7:$G$40,4,TRUE)*normtid)),"ej sem")</f>
        <v>8</v>
      </c>
      <c r="AF21" s="138" t="str">
        <f>IF(ISERROR(VLOOKUP(AD21,Fridag!$B$7:$G$38,5,FALSE))=TRUE,"",VLOOKUP(AD21,Fridag!$B$7:$G$38,5,TRUE))</f>
        <v/>
      </c>
      <c r="AG21" s="137">
        <f t="shared" si="10"/>
        <v>44151</v>
      </c>
      <c r="AH21" s="136" t="str">
        <f>IF(AND(WEEKDAY(AG21)&gt;1,WEEKDAY(AG21)&lt;7),IF(ISERROR(VLOOKUP(AG21,Fridag!$B$7:$G$40,4,FALSE))=TRUE,normtid,IF(VLOOKUP(AG21,Fridag!$B$7:$G$40,4,TRUE)=0,"ej sem",VLOOKUP(AG21,Fridag!$B$7:$G$40,4,TRUE)*normtid)),"ej sem")</f>
        <v>ej sem</v>
      </c>
      <c r="AI21" s="138" t="str">
        <f>IF(ISERROR(VLOOKUP(AG21,Fridag!$B$7:$G$38,5,FALSE))=TRUE,"",VLOOKUP(AG21,Fridag!$B$7:$G$38,5,TRUE))</f>
        <v/>
      </c>
      <c r="AJ21" s="137">
        <f t="shared" si="11"/>
        <v>44181</v>
      </c>
      <c r="AK21" s="136">
        <f>IF(AND(WEEKDAY(AJ21)&gt;1,WEEKDAY(AJ21)&lt;7),IF(ISERROR(VLOOKUP(AJ21,Fridag!$B$7:$G$40,4,FALSE))=TRUE,normtid,IF(VLOOKUP(AJ21,Fridag!$B$7:$G$40,4,TRUE)=0,"ej sem",VLOOKUP(AJ21,Fridag!$B$7:$G$40,4,TRUE)*normtid)),"ej sem")</f>
        <v>8</v>
      </c>
      <c r="AL21" s="138" t="str">
        <f>IF(ISERROR(VLOOKUP(AJ21,Fridag!$B$7:$G$38,5,FALSE))=TRUE,"",VLOOKUP(AJ21,Fridag!$B$7:$G$38,5,TRUE))</f>
        <v/>
      </c>
      <c r="AM21" s="471"/>
    </row>
    <row r="22" spans="1:39" s="472" customFormat="1">
      <c r="A22" s="122"/>
      <c r="B22" s="122"/>
      <c r="C22" s="135">
        <f t="shared" si="1"/>
        <v>43847</v>
      </c>
      <c r="D22" s="136">
        <f>IF(AND(WEEKDAY(C22)&gt;1,WEEKDAY(C22)&lt;7),IF(ISERROR(VLOOKUP(C22,Fridag!$B$7:$G$40,4,FALSE))=TRUE,normtid,IF(VLOOKUP(C22,Fridag!$B$7:$G$40,4,TRUE)=0,"ej sem",VLOOKUP(C22,Fridag!$B$7:$G$40,4,TRUE)*normtid)),"ej sem")</f>
        <v>8</v>
      </c>
      <c r="E22" s="138" t="str">
        <f>IF(ISERROR(VLOOKUP(C22,Fridag!$B$7:$G$38,5,FALSE))=TRUE,"",VLOOKUP(C22,Fridag!$B$7:$G$38,5,TRUE))</f>
        <v/>
      </c>
      <c r="F22" s="137">
        <f t="shared" si="2"/>
        <v>43878</v>
      </c>
      <c r="G22" s="136" t="str">
        <f>IF(AND(WEEKDAY(F22)&gt;1,WEEKDAY(F22)&lt;7),IF(ISERROR(VLOOKUP(F22,Fridag!$B$7:$G$40,4,FALSE))=TRUE,normtid,IF(VLOOKUP(F22,Fridag!$B$7:$G$40,4,TRUE)=0,"ej sem",VLOOKUP(F22,Fridag!$B$7:$G$40,4,TRUE)*normtid)),"ej sem")</f>
        <v>ej sem</v>
      </c>
      <c r="H22" s="138" t="str">
        <f>IF(ISERROR(VLOOKUP(F22,Fridag!$B$7:$G$38,5,FALSE))=TRUE,"",VLOOKUP(F22,Fridag!$B$7:$G$38,5,TRUE))</f>
        <v/>
      </c>
      <c r="I22" s="137">
        <f t="shared" si="3"/>
        <v>43907</v>
      </c>
      <c r="J22" s="136">
        <f>IF(AND(WEEKDAY(I22)&gt;1,WEEKDAY(I22)&lt;7),IF(ISERROR(VLOOKUP(I22,Fridag!$B$7:$G$40,4,FALSE))=TRUE,normtid,IF(VLOOKUP(I22,Fridag!$B$7:$G$40,4,TRUE)=0,"ej sem",VLOOKUP(I22,Fridag!$B$7:$G$40,4,TRUE)*normtid)),"ej sem")</f>
        <v>8</v>
      </c>
      <c r="K22" s="138" t="str">
        <f>IF(ISERROR(VLOOKUP(I22,Fridag!$B$7:$G$38,5,FALSE))=TRUE,"",VLOOKUP(I22,Fridag!$B$7:$G$38,5,TRUE))</f>
        <v/>
      </c>
      <c r="L22" s="137">
        <f t="shared" si="4"/>
        <v>43938</v>
      </c>
      <c r="M22" s="136">
        <f>IF(AND(WEEKDAY(L22)&gt;1,WEEKDAY(L22)&lt;7),IF(ISERROR(VLOOKUP(L22,Fridag!$B$7:$G$40,4,FALSE))=TRUE,normtid,IF(VLOOKUP(L22,Fridag!$B$7:$G$40,4,TRUE)=0,"ej sem",VLOOKUP(L22,Fridag!$B$7:$G$40,4,TRUE)*normtid)),"ej sem")</f>
        <v>8</v>
      </c>
      <c r="N22" s="138" t="str">
        <f>IF(ISERROR(VLOOKUP(L22,Fridag!$B$7:$G$38,5,FALSE))=TRUE,"",VLOOKUP(L22,Fridag!$B$7:$G$38,5,TRUE))</f>
        <v/>
      </c>
      <c r="O22" s="137">
        <f t="shared" si="5"/>
        <v>43968</v>
      </c>
      <c r="P22" s="136" t="str">
        <f>IF(AND(WEEKDAY(O22)&gt;1,WEEKDAY(O22)&lt;7),IF(ISERROR(VLOOKUP(O22,Fridag!$B$7:$G$40,4,FALSE))=TRUE,normtid,IF(VLOOKUP(O22,Fridag!$B$7:$G$40,4,TRUE)=0,"ej sem",VLOOKUP(O22,Fridag!$B$7:$G$40,4,TRUE)*normtid)),"ej sem")</f>
        <v>ej sem</v>
      </c>
      <c r="Q22" s="138" t="str">
        <f>IF(ISERROR(VLOOKUP(O22,Fridag!$B$7:$G$38,5,FALSE))=TRUE,"",VLOOKUP(O22,Fridag!$B$7:$G$38,5,TRUE))</f>
        <v>Pingstafton</v>
      </c>
      <c r="R22" s="137">
        <f t="shared" si="6"/>
        <v>43999</v>
      </c>
      <c r="S22" s="136">
        <f>IF(AND(WEEKDAY(R22)&gt;1,WEEKDAY(R22)&lt;7),IF(ISERROR(VLOOKUP(R22,Fridag!$B$7:$G$40,4,FALSE))=TRUE,normtid,IF(VLOOKUP(R22,Fridag!$B$7:$G$40,4,TRUE)=0,"ej sem",VLOOKUP(R22,Fridag!$B$7:$G$40,4,TRUE)*normtid)),"ej sem")</f>
        <v>8</v>
      </c>
      <c r="T22" s="138" t="str">
        <f>IF(ISERROR(VLOOKUP(R22,Fridag!$B$7:$G$38,5,FALSE))=TRUE,"",VLOOKUP(R22,Fridag!$B$7:$G$38,5,TRUE))</f>
        <v/>
      </c>
      <c r="U22" s="137">
        <f t="shared" si="0"/>
        <v>44029</v>
      </c>
      <c r="V22" s="136">
        <f>IF(AND(WEEKDAY(U22)&gt;1,WEEKDAY(U22)&lt;7),IF(ISERROR(VLOOKUP(U22,Fridag!$B$7:$G$40,4,FALSE))=TRUE,normtid,IF(VLOOKUP(U22,Fridag!$B$7:$G$40,4,TRUE)=0,"ej sem",VLOOKUP(U22,Fridag!$B$7:$G$40,4,TRUE)*normtid)),"ej sem")</f>
        <v>8</v>
      </c>
      <c r="W22" s="138" t="str">
        <f>IF(ISERROR(VLOOKUP(U22,Fridag!$B$7:$G$38,5,FALSE))=TRUE,"",VLOOKUP(U22,Fridag!$B$7:$G$38,5,TRUE))</f>
        <v/>
      </c>
      <c r="X22" s="137">
        <f t="shared" si="7"/>
        <v>44060</v>
      </c>
      <c r="Y22" s="136" t="str">
        <f>IF(AND(WEEKDAY(X22)&gt;1,WEEKDAY(X22)&lt;7),IF(ISERROR(VLOOKUP(X22,Fridag!$B$7:$G$40,4,FALSE))=TRUE,normtid,IF(VLOOKUP(X22,Fridag!$B$7:$G$40,4,TRUE)=0,"ej sem",VLOOKUP(X22,Fridag!$B$7:$G$40,4,TRUE)*normtid)),"ej sem")</f>
        <v>ej sem</v>
      </c>
      <c r="Z22" s="138" t="str">
        <f>IF(ISERROR(VLOOKUP(X22,Fridag!$B$7:$G$38,5,FALSE))=TRUE,"",VLOOKUP(X22,Fridag!$B$7:$G$38,5,TRUE))</f>
        <v/>
      </c>
      <c r="AA22" s="137">
        <f t="shared" si="8"/>
        <v>44091</v>
      </c>
      <c r="AB22" s="136">
        <f>IF(AND(WEEKDAY(AA22)&gt;1,WEEKDAY(AA22)&lt;7),IF(ISERROR(VLOOKUP(AA22,Fridag!$B$7:$G$40,4,FALSE))=TRUE,normtid,IF(VLOOKUP(AA22,Fridag!$B$7:$G$40,4,TRUE)=0,"ej sem",VLOOKUP(AA22,Fridag!$B$7:$G$40,4,TRUE)*normtid)),"ej sem")</f>
        <v>8</v>
      </c>
      <c r="AC22" s="138" t="str">
        <f>IF(ISERROR(VLOOKUP(AA22,Fridag!$B$7:$G$38,5,FALSE))=TRUE,"",VLOOKUP(AA22,Fridag!$B$7:$G$38,5,TRUE))</f>
        <v/>
      </c>
      <c r="AD22" s="137">
        <f t="shared" si="9"/>
        <v>44121</v>
      </c>
      <c r="AE22" s="136">
        <f>IF(AND(WEEKDAY(AD22)&gt;1,WEEKDAY(AD22)&lt;7),IF(ISERROR(VLOOKUP(AD22,Fridag!$B$7:$G$40,4,FALSE))=TRUE,normtid,IF(VLOOKUP(AD22,Fridag!$B$7:$G$40,4,TRUE)=0,"ej sem",VLOOKUP(AD22,Fridag!$B$7:$G$40,4,TRUE)*normtid)),"ej sem")</f>
        <v>8</v>
      </c>
      <c r="AF22" s="138" t="str">
        <f>IF(ISERROR(VLOOKUP(AD22,Fridag!$B$7:$G$38,5,FALSE))=TRUE,"",VLOOKUP(AD22,Fridag!$B$7:$G$38,5,TRUE))</f>
        <v/>
      </c>
      <c r="AG22" s="137">
        <f t="shared" si="10"/>
        <v>44152</v>
      </c>
      <c r="AH22" s="136">
        <f>IF(AND(WEEKDAY(AG22)&gt;1,WEEKDAY(AG22)&lt;7),IF(ISERROR(VLOOKUP(AG22,Fridag!$B$7:$G$40,4,FALSE))=TRUE,normtid,IF(VLOOKUP(AG22,Fridag!$B$7:$G$40,4,TRUE)=0,"ej sem",VLOOKUP(AG22,Fridag!$B$7:$G$40,4,TRUE)*normtid)),"ej sem")</f>
        <v>8</v>
      </c>
      <c r="AI22" s="138" t="str">
        <f>IF(ISERROR(VLOOKUP(AG22,Fridag!$B$7:$G$38,5,FALSE))=TRUE,"",VLOOKUP(AG22,Fridag!$B$7:$G$38,5,TRUE))</f>
        <v/>
      </c>
      <c r="AJ22" s="137">
        <f t="shared" si="11"/>
        <v>44182</v>
      </c>
      <c r="AK22" s="136">
        <f>IF(AND(WEEKDAY(AJ22)&gt;1,WEEKDAY(AJ22)&lt;7),IF(ISERROR(VLOOKUP(AJ22,Fridag!$B$7:$G$40,4,FALSE))=TRUE,normtid,IF(VLOOKUP(AJ22,Fridag!$B$7:$G$40,4,TRUE)=0,"ej sem",VLOOKUP(AJ22,Fridag!$B$7:$G$40,4,TRUE)*normtid)),"ej sem")</f>
        <v>8</v>
      </c>
      <c r="AL22" s="138" t="str">
        <f>IF(ISERROR(VLOOKUP(AJ22,Fridag!$B$7:$G$38,5,FALSE))=TRUE,"",VLOOKUP(AJ22,Fridag!$B$7:$G$38,5,TRUE))</f>
        <v/>
      </c>
      <c r="AM22" s="471"/>
    </row>
    <row r="23" spans="1:39" s="472" customFormat="1">
      <c r="A23" s="122"/>
      <c r="B23" s="122"/>
      <c r="C23" s="135">
        <f t="shared" si="1"/>
        <v>43848</v>
      </c>
      <c r="D23" s="136">
        <f>IF(AND(WEEKDAY(C23)&gt;1,WEEKDAY(C23)&lt;7),IF(ISERROR(VLOOKUP(C23,Fridag!$B$7:$G$40,4,FALSE))=TRUE,normtid,IF(VLOOKUP(C23,Fridag!$B$7:$G$40,4,TRUE)=0,"ej sem",VLOOKUP(C23,Fridag!$B$7:$G$40,4,TRUE)*normtid)),"ej sem")</f>
        <v>8</v>
      </c>
      <c r="E23" s="138" t="str">
        <f>IF(ISERROR(VLOOKUP(C23,Fridag!$B$7:$G$38,5,FALSE))=TRUE,"",VLOOKUP(C23,Fridag!$B$7:$G$38,5,TRUE))</f>
        <v/>
      </c>
      <c r="F23" s="137">
        <f t="shared" si="2"/>
        <v>43879</v>
      </c>
      <c r="G23" s="136">
        <f>IF(AND(WEEKDAY(F23)&gt;1,WEEKDAY(F23)&lt;7),IF(ISERROR(VLOOKUP(F23,Fridag!$B$7:$G$40,4,FALSE))=TRUE,normtid,IF(VLOOKUP(F23,Fridag!$B$7:$G$40,4,TRUE)=0,"ej sem",VLOOKUP(F23,Fridag!$B$7:$G$40,4,TRUE)*normtid)),"ej sem")</f>
        <v>8</v>
      </c>
      <c r="H23" s="138" t="str">
        <f>IF(ISERROR(VLOOKUP(F23,Fridag!$B$7:$G$38,5,FALSE))=TRUE,"",VLOOKUP(F23,Fridag!$B$7:$G$38,5,TRUE))</f>
        <v/>
      </c>
      <c r="I23" s="137">
        <f t="shared" si="3"/>
        <v>43908</v>
      </c>
      <c r="J23" s="136">
        <f>IF(AND(WEEKDAY(I23)&gt;1,WEEKDAY(I23)&lt;7),IF(ISERROR(VLOOKUP(I23,Fridag!$B$7:$G$40,4,FALSE))=TRUE,normtid,IF(VLOOKUP(I23,Fridag!$B$7:$G$40,4,TRUE)=0,"ej sem",VLOOKUP(I23,Fridag!$B$7:$G$40,4,TRUE)*normtid)),"ej sem")</f>
        <v>8</v>
      </c>
      <c r="K23" s="138" t="str">
        <f>IF(ISERROR(VLOOKUP(I23,Fridag!$B$7:$G$38,5,FALSE))=TRUE,"",VLOOKUP(I23,Fridag!$B$7:$G$38,5,TRUE))</f>
        <v/>
      </c>
      <c r="L23" s="137">
        <f t="shared" si="4"/>
        <v>43939</v>
      </c>
      <c r="M23" s="136">
        <f>IF(AND(WEEKDAY(L23)&gt;1,WEEKDAY(L23)&lt;7),IF(ISERROR(VLOOKUP(L23,Fridag!$B$7:$G$40,4,FALSE))=TRUE,normtid,IF(VLOOKUP(L23,Fridag!$B$7:$G$40,4,TRUE)=0,"ej sem",VLOOKUP(L23,Fridag!$B$7:$G$40,4,TRUE)*normtid)),"ej sem")</f>
        <v>8</v>
      </c>
      <c r="N23" s="138" t="str">
        <f>IF(ISERROR(VLOOKUP(L23,Fridag!$B$7:$G$38,5,FALSE))=TRUE,"",VLOOKUP(L23,Fridag!$B$7:$G$38,5,TRUE))</f>
        <v/>
      </c>
      <c r="O23" s="137">
        <f t="shared" si="5"/>
        <v>43969</v>
      </c>
      <c r="P23" s="136" t="str">
        <f>IF(AND(WEEKDAY(O23)&gt;1,WEEKDAY(O23)&lt;7),IF(ISERROR(VLOOKUP(O23,Fridag!$B$7:$G$40,4,FALSE))=TRUE,normtid,IF(VLOOKUP(O23,Fridag!$B$7:$G$40,4,TRUE)=0,"ej sem",VLOOKUP(O23,Fridag!$B$7:$G$40,4,TRUE)*normtid)),"ej sem")</f>
        <v>ej sem</v>
      </c>
      <c r="Q23" s="138" t="str">
        <f>IF(ISERROR(VLOOKUP(O23,Fridag!$B$7:$G$38,5,FALSE))=TRUE,"",VLOOKUP(O23,Fridag!$B$7:$G$38,5,TRUE))</f>
        <v>Pingstdagen</v>
      </c>
      <c r="R23" s="137">
        <f t="shared" si="6"/>
        <v>44000</v>
      </c>
      <c r="S23" s="136">
        <f>IF(AND(WEEKDAY(R23)&gt;1,WEEKDAY(R23)&lt;7),IF(ISERROR(VLOOKUP(R23,Fridag!$B$7:$G$40,4,FALSE))=TRUE,normtid,IF(VLOOKUP(R23,Fridag!$B$7:$G$40,4,TRUE)=0,"ej sem",VLOOKUP(R23,Fridag!$B$7:$G$40,4,TRUE)*normtid)),"ej sem")</f>
        <v>8</v>
      </c>
      <c r="T23" s="138" t="str">
        <f>IF(ISERROR(VLOOKUP(R23,Fridag!$B$7:$G$38,5,FALSE))=TRUE,"",VLOOKUP(R23,Fridag!$B$7:$G$38,5,TRUE))</f>
        <v/>
      </c>
      <c r="U23" s="137">
        <f t="shared" si="0"/>
        <v>44030</v>
      </c>
      <c r="V23" s="136">
        <f>IF(AND(WEEKDAY(U23)&gt;1,WEEKDAY(U23)&lt;7),IF(ISERROR(VLOOKUP(U23,Fridag!$B$7:$G$40,4,FALSE))=TRUE,normtid,IF(VLOOKUP(U23,Fridag!$B$7:$G$40,4,TRUE)=0,"ej sem",VLOOKUP(U23,Fridag!$B$7:$G$40,4,TRUE)*normtid)),"ej sem")</f>
        <v>8</v>
      </c>
      <c r="W23" s="138" t="str">
        <f>IF(ISERROR(VLOOKUP(U23,Fridag!$B$7:$G$38,5,FALSE))=TRUE,"",VLOOKUP(U23,Fridag!$B$7:$G$38,5,TRUE))</f>
        <v/>
      </c>
      <c r="X23" s="137">
        <f t="shared" si="7"/>
        <v>44061</v>
      </c>
      <c r="Y23" s="136">
        <f>IF(AND(WEEKDAY(X23)&gt;1,WEEKDAY(X23)&lt;7),IF(ISERROR(VLOOKUP(X23,Fridag!$B$7:$G$40,4,FALSE))=TRUE,normtid,IF(VLOOKUP(X23,Fridag!$B$7:$G$40,4,TRUE)=0,"ej sem",VLOOKUP(X23,Fridag!$B$7:$G$40,4,TRUE)*normtid)),"ej sem")</f>
        <v>8</v>
      </c>
      <c r="Z23" s="138" t="str">
        <f>IF(ISERROR(VLOOKUP(X23,Fridag!$B$7:$G$38,5,FALSE))=TRUE,"",VLOOKUP(X23,Fridag!$B$7:$G$38,5,TRUE))</f>
        <v/>
      </c>
      <c r="AA23" s="137">
        <f t="shared" si="8"/>
        <v>44092</v>
      </c>
      <c r="AB23" s="136">
        <f>IF(AND(WEEKDAY(AA23)&gt;1,WEEKDAY(AA23)&lt;7),IF(ISERROR(VLOOKUP(AA23,Fridag!$B$7:$G$40,4,FALSE))=TRUE,normtid,IF(VLOOKUP(AA23,Fridag!$B$7:$G$40,4,TRUE)=0,"ej sem",VLOOKUP(AA23,Fridag!$B$7:$G$40,4,TRUE)*normtid)),"ej sem")</f>
        <v>8</v>
      </c>
      <c r="AC23" s="138" t="str">
        <f>IF(ISERROR(VLOOKUP(AA23,Fridag!$B$7:$G$38,5,FALSE))=TRUE,"",VLOOKUP(AA23,Fridag!$B$7:$G$38,5,TRUE))</f>
        <v/>
      </c>
      <c r="AD23" s="137">
        <f t="shared" si="9"/>
        <v>44122</v>
      </c>
      <c r="AE23" s="136" t="str">
        <f>IF(AND(WEEKDAY(AD23)&gt;1,WEEKDAY(AD23)&lt;7),IF(ISERROR(VLOOKUP(AD23,Fridag!$B$7:$G$40,4,FALSE))=TRUE,normtid,IF(VLOOKUP(AD23,Fridag!$B$7:$G$40,4,TRUE)=0,"ej sem",VLOOKUP(AD23,Fridag!$B$7:$G$40,4,TRUE)*normtid)),"ej sem")</f>
        <v>ej sem</v>
      </c>
      <c r="AF23" s="138" t="str">
        <f>IF(ISERROR(VLOOKUP(AD23,Fridag!$B$7:$G$38,5,FALSE))=TRUE,"",VLOOKUP(AD23,Fridag!$B$7:$G$38,5,TRUE))</f>
        <v/>
      </c>
      <c r="AG23" s="137">
        <f t="shared" si="10"/>
        <v>44153</v>
      </c>
      <c r="AH23" s="136">
        <f>IF(AND(WEEKDAY(AG23)&gt;1,WEEKDAY(AG23)&lt;7),IF(ISERROR(VLOOKUP(AG23,Fridag!$B$7:$G$40,4,FALSE))=TRUE,normtid,IF(VLOOKUP(AG23,Fridag!$B$7:$G$40,4,TRUE)=0,"ej sem",VLOOKUP(AG23,Fridag!$B$7:$G$40,4,TRUE)*normtid)),"ej sem")</f>
        <v>8</v>
      </c>
      <c r="AI23" s="138" t="str">
        <f>IF(ISERROR(VLOOKUP(AG23,Fridag!$B$7:$G$38,5,FALSE))=TRUE,"",VLOOKUP(AG23,Fridag!$B$7:$G$38,5,TRUE))</f>
        <v/>
      </c>
      <c r="AJ23" s="137">
        <f t="shared" si="11"/>
        <v>44183</v>
      </c>
      <c r="AK23" s="136">
        <f>IF(AND(WEEKDAY(AJ23)&gt;1,WEEKDAY(AJ23)&lt;7),IF(ISERROR(VLOOKUP(AJ23,Fridag!$B$7:$G$40,4,FALSE))=TRUE,normtid,IF(VLOOKUP(AJ23,Fridag!$B$7:$G$40,4,TRUE)=0,"ej sem",VLOOKUP(AJ23,Fridag!$B$7:$G$40,4,TRUE)*normtid)),"ej sem")</f>
        <v>8</v>
      </c>
      <c r="AL23" s="138" t="str">
        <f>IF(ISERROR(VLOOKUP(AJ23,Fridag!$B$7:$G$38,5,FALSE))=TRUE,"",VLOOKUP(AJ23,Fridag!$B$7:$G$38,5,TRUE))</f>
        <v/>
      </c>
      <c r="AM23" s="471"/>
    </row>
    <row r="24" spans="1:39" s="472" customFormat="1">
      <c r="A24" s="122"/>
      <c r="B24" s="122"/>
      <c r="C24" s="135">
        <f t="shared" si="1"/>
        <v>43849</v>
      </c>
      <c r="D24" s="136" t="str">
        <f>IF(AND(WEEKDAY(C24)&gt;1,WEEKDAY(C24)&lt;7),IF(ISERROR(VLOOKUP(C24,Fridag!$B$7:$G$40,4,FALSE))=TRUE,normtid,IF(VLOOKUP(C24,Fridag!$B$7:$G$40,4,TRUE)=0,"ej sem",VLOOKUP(C24,Fridag!$B$7:$G$40,4,TRUE)*normtid)),"ej sem")</f>
        <v>ej sem</v>
      </c>
      <c r="E24" s="138" t="str">
        <f>IF(ISERROR(VLOOKUP(C24,Fridag!$B$7:$G$38,5,FALSE))=TRUE,"",VLOOKUP(C24,Fridag!$B$7:$G$38,5,TRUE))</f>
        <v/>
      </c>
      <c r="F24" s="137">
        <f t="shared" si="2"/>
        <v>43880</v>
      </c>
      <c r="G24" s="136">
        <f>IF(AND(WEEKDAY(F24)&gt;1,WEEKDAY(F24)&lt;7),IF(ISERROR(VLOOKUP(F24,Fridag!$B$7:$G$40,4,FALSE))=TRUE,normtid,IF(VLOOKUP(F24,Fridag!$B$7:$G$40,4,TRUE)=0,"ej sem",VLOOKUP(F24,Fridag!$B$7:$G$40,4,TRUE)*normtid)),"ej sem")</f>
        <v>8</v>
      </c>
      <c r="H24" s="138" t="str">
        <f>IF(ISERROR(VLOOKUP(F24,Fridag!$B$7:$G$38,5,FALSE))=TRUE,"",VLOOKUP(F24,Fridag!$B$7:$G$38,5,TRUE))</f>
        <v/>
      </c>
      <c r="I24" s="137">
        <f t="shared" si="3"/>
        <v>43909</v>
      </c>
      <c r="J24" s="136">
        <f>IF(AND(WEEKDAY(I24)&gt;1,WEEKDAY(I24)&lt;7),IF(ISERROR(VLOOKUP(I24,Fridag!$B$7:$G$40,4,FALSE))=TRUE,normtid,IF(VLOOKUP(I24,Fridag!$B$7:$G$40,4,TRUE)=0,"ej sem",VLOOKUP(I24,Fridag!$B$7:$G$40,4,TRUE)*normtid)),"ej sem")</f>
        <v>8</v>
      </c>
      <c r="K24" s="138" t="str">
        <f>IF(ISERROR(VLOOKUP(I24,Fridag!$B$7:$G$38,5,FALSE))=TRUE,"",VLOOKUP(I24,Fridag!$B$7:$G$38,5,TRUE))</f>
        <v/>
      </c>
      <c r="L24" s="137">
        <f t="shared" si="4"/>
        <v>43940</v>
      </c>
      <c r="M24" s="136" t="str">
        <f>IF(AND(WEEKDAY(L24)&gt;1,WEEKDAY(L24)&lt;7),IF(ISERROR(VLOOKUP(L24,Fridag!$B$7:$G$40,4,FALSE))=TRUE,normtid,IF(VLOOKUP(L24,Fridag!$B$7:$G$40,4,TRUE)=0,"ej sem",VLOOKUP(L24,Fridag!$B$7:$G$40,4,TRUE)*normtid)),"ej sem")</f>
        <v>ej sem</v>
      </c>
      <c r="N24" s="138" t="str">
        <f>IF(ISERROR(VLOOKUP(L24,Fridag!$B$7:$G$38,5,FALSE))=TRUE,"",VLOOKUP(L24,Fridag!$B$7:$G$38,5,TRUE))</f>
        <v/>
      </c>
      <c r="O24" s="137">
        <f t="shared" si="5"/>
        <v>43970</v>
      </c>
      <c r="P24" s="136">
        <f>IF(AND(WEEKDAY(O24)&gt;1,WEEKDAY(O24)&lt;7),IF(ISERROR(VLOOKUP(O24,Fridag!$B$7:$G$40,4,FALSE))=TRUE,normtid,IF(VLOOKUP(O24,Fridag!$B$7:$G$40,4,TRUE)=0,"ej sem",VLOOKUP(O24,Fridag!$B$7:$G$40,4,TRUE)*normtid)),"ej sem")</f>
        <v>8</v>
      </c>
      <c r="Q24" s="138" t="str">
        <f>IF(ISERROR(VLOOKUP(O24,Fridag!$B$7:$G$38,5,FALSE))=TRUE,"",VLOOKUP(O24,Fridag!$B$7:$G$38,5,TRUE))</f>
        <v/>
      </c>
      <c r="R24" s="137">
        <f t="shared" si="6"/>
        <v>44001</v>
      </c>
      <c r="S24" s="136">
        <f>IF(AND(WEEKDAY(R24)&gt;1,WEEKDAY(R24)&lt;7),IF(ISERROR(VLOOKUP(R24,Fridag!$B$7:$G$40,4,FALSE))=TRUE,normtid,IF(VLOOKUP(R24,Fridag!$B$7:$G$40,4,TRUE)=0,"ej sem",VLOOKUP(R24,Fridag!$B$7:$G$40,4,TRUE)*normtid)),"ej sem")</f>
        <v>8</v>
      </c>
      <c r="T24" s="138" t="str">
        <f>IF(ISERROR(VLOOKUP(R24,Fridag!$B$7:$G$38,5,FALSE))=TRUE,"",VLOOKUP(R24,Fridag!$B$7:$G$38,5,TRUE))</f>
        <v/>
      </c>
      <c r="U24" s="137">
        <f t="shared" si="0"/>
        <v>44031</v>
      </c>
      <c r="V24" s="136" t="str">
        <f>IF(AND(WEEKDAY(U24)&gt;1,WEEKDAY(U24)&lt;7),IF(ISERROR(VLOOKUP(U24,Fridag!$B$7:$G$40,4,FALSE))=TRUE,normtid,IF(VLOOKUP(U24,Fridag!$B$7:$G$40,4,TRUE)=0,"ej sem",VLOOKUP(U24,Fridag!$B$7:$G$40,4,TRUE)*normtid)),"ej sem")</f>
        <v>ej sem</v>
      </c>
      <c r="W24" s="138" t="str">
        <f>IF(ISERROR(VLOOKUP(U24,Fridag!$B$7:$G$38,5,FALSE))=TRUE,"",VLOOKUP(U24,Fridag!$B$7:$G$38,5,TRUE))</f>
        <v/>
      </c>
      <c r="X24" s="137">
        <f t="shared" si="7"/>
        <v>44062</v>
      </c>
      <c r="Y24" s="136">
        <f>IF(AND(WEEKDAY(X24)&gt;1,WEEKDAY(X24)&lt;7),IF(ISERROR(VLOOKUP(X24,Fridag!$B$7:$G$40,4,FALSE))=TRUE,normtid,IF(VLOOKUP(X24,Fridag!$B$7:$G$40,4,TRUE)=0,"ej sem",VLOOKUP(X24,Fridag!$B$7:$G$40,4,TRUE)*normtid)),"ej sem")</f>
        <v>8</v>
      </c>
      <c r="Z24" s="138" t="str">
        <f>IF(ISERROR(VLOOKUP(X24,Fridag!$B$7:$G$38,5,FALSE))=TRUE,"",VLOOKUP(X24,Fridag!$B$7:$G$38,5,TRUE))</f>
        <v/>
      </c>
      <c r="AA24" s="137">
        <f t="shared" si="8"/>
        <v>44093</v>
      </c>
      <c r="AB24" s="136">
        <f>IF(AND(WEEKDAY(AA24)&gt;1,WEEKDAY(AA24)&lt;7),IF(ISERROR(VLOOKUP(AA24,Fridag!$B$7:$G$40,4,FALSE))=TRUE,normtid,IF(VLOOKUP(AA24,Fridag!$B$7:$G$40,4,TRUE)=0,"ej sem",VLOOKUP(AA24,Fridag!$B$7:$G$40,4,TRUE)*normtid)),"ej sem")</f>
        <v>8</v>
      </c>
      <c r="AC24" s="138" t="str">
        <f>IF(ISERROR(VLOOKUP(AA24,Fridag!$B$7:$G$38,5,FALSE))=TRUE,"",VLOOKUP(AA24,Fridag!$B$7:$G$38,5,TRUE))</f>
        <v/>
      </c>
      <c r="AD24" s="137">
        <f t="shared" si="9"/>
        <v>44123</v>
      </c>
      <c r="AE24" s="136" t="str">
        <f>IF(AND(WEEKDAY(AD24)&gt;1,WEEKDAY(AD24)&lt;7),IF(ISERROR(VLOOKUP(AD24,Fridag!$B$7:$G$40,4,FALSE))=TRUE,normtid,IF(VLOOKUP(AD24,Fridag!$B$7:$G$40,4,TRUE)=0,"ej sem",VLOOKUP(AD24,Fridag!$B$7:$G$40,4,TRUE)*normtid)),"ej sem")</f>
        <v>ej sem</v>
      </c>
      <c r="AF24" s="138" t="str">
        <f>IF(ISERROR(VLOOKUP(AD24,Fridag!$B$7:$G$38,5,FALSE))=TRUE,"",VLOOKUP(AD24,Fridag!$B$7:$G$38,5,TRUE))</f>
        <v/>
      </c>
      <c r="AG24" s="137">
        <f t="shared" si="10"/>
        <v>44154</v>
      </c>
      <c r="AH24" s="136">
        <f>IF(AND(WEEKDAY(AG24)&gt;1,WEEKDAY(AG24)&lt;7),IF(ISERROR(VLOOKUP(AG24,Fridag!$B$7:$G$40,4,FALSE))=TRUE,normtid,IF(VLOOKUP(AG24,Fridag!$B$7:$G$40,4,TRUE)=0,"ej sem",VLOOKUP(AG24,Fridag!$B$7:$G$40,4,TRUE)*normtid)),"ej sem")</f>
        <v>8</v>
      </c>
      <c r="AI24" s="138" t="str">
        <f>IF(ISERROR(VLOOKUP(AG24,Fridag!$B$7:$G$38,5,FALSE))=TRUE,"",VLOOKUP(AG24,Fridag!$B$7:$G$38,5,TRUE))</f>
        <v/>
      </c>
      <c r="AJ24" s="137">
        <f t="shared" si="11"/>
        <v>44184</v>
      </c>
      <c r="AK24" s="136">
        <f>IF(AND(WEEKDAY(AJ24)&gt;1,WEEKDAY(AJ24)&lt;7),IF(ISERROR(VLOOKUP(AJ24,Fridag!$B$7:$G$40,4,FALSE))=TRUE,normtid,IF(VLOOKUP(AJ24,Fridag!$B$7:$G$40,4,TRUE)=0,"ej sem",VLOOKUP(AJ24,Fridag!$B$7:$G$40,4,TRUE)*normtid)),"ej sem")</f>
        <v>8</v>
      </c>
      <c r="AL24" s="138" t="str">
        <f>IF(ISERROR(VLOOKUP(AJ24,Fridag!$B$7:$G$38,5,FALSE))=TRUE,"",VLOOKUP(AJ24,Fridag!$B$7:$G$38,5,TRUE))</f>
        <v/>
      </c>
      <c r="AM24" s="471"/>
    </row>
    <row r="25" spans="1:39" s="472" customFormat="1">
      <c r="A25" s="122"/>
      <c r="B25" s="122"/>
      <c r="C25" s="135">
        <f t="shared" si="1"/>
        <v>43850</v>
      </c>
      <c r="D25" s="136" t="str">
        <f>IF(AND(WEEKDAY(C25)&gt;1,WEEKDAY(C25)&lt;7),IF(ISERROR(VLOOKUP(C25,Fridag!$B$7:$G$40,4,FALSE))=TRUE,normtid,IF(VLOOKUP(C25,Fridag!$B$7:$G$40,4,TRUE)=0,"ej sem",VLOOKUP(C25,Fridag!$B$7:$G$40,4,TRUE)*normtid)),"ej sem")</f>
        <v>ej sem</v>
      </c>
      <c r="E25" s="138" t="str">
        <f>IF(ISERROR(VLOOKUP(C25,Fridag!$B$7:$G$38,5,FALSE))=TRUE,"",VLOOKUP(C25,Fridag!$B$7:$G$38,5,TRUE))</f>
        <v/>
      </c>
      <c r="F25" s="137">
        <f t="shared" si="2"/>
        <v>43881</v>
      </c>
      <c r="G25" s="136">
        <f>IF(AND(WEEKDAY(F25)&gt;1,WEEKDAY(F25)&lt;7),IF(ISERROR(VLOOKUP(F25,Fridag!$B$7:$G$40,4,FALSE))=TRUE,normtid,IF(VLOOKUP(F25,Fridag!$B$7:$G$40,4,TRUE)=0,"ej sem",VLOOKUP(F25,Fridag!$B$7:$G$40,4,TRUE)*normtid)),"ej sem")</f>
        <v>8</v>
      </c>
      <c r="H25" s="138" t="str">
        <f>IF(ISERROR(VLOOKUP(F25,Fridag!$B$7:$G$38,5,FALSE))=TRUE,"",VLOOKUP(F25,Fridag!$B$7:$G$38,5,TRUE))</f>
        <v/>
      </c>
      <c r="I25" s="137">
        <f t="shared" si="3"/>
        <v>43910</v>
      </c>
      <c r="J25" s="136">
        <f>IF(AND(WEEKDAY(I25)&gt;1,WEEKDAY(I25)&lt;7),IF(ISERROR(VLOOKUP(I25,Fridag!$B$7:$G$40,4,FALSE))=TRUE,normtid,IF(VLOOKUP(I25,Fridag!$B$7:$G$40,4,TRUE)=0,"ej sem",VLOOKUP(I25,Fridag!$B$7:$G$40,4,TRUE)*normtid)),"ej sem")</f>
        <v>8</v>
      </c>
      <c r="K25" s="138" t="str">
        <f>IF(ISERROR(VLOOKUP(I25,Fridag!$B$7:$G$38,5,FALSE))=TRUE,"",VLOOKUP(I25,Fridag!$B$7:$G$38,5,TRUE))</f>
        <v/>
      </c>
      <c r="L25" s="137">
        <f t="shared" si="4"/>
        <v>43941</v>
      </c>
      <c r="M25" s="136" t="str">
        <f>IF(AND(WEEKDAY(L25)&gt;1,WEEKDAY(L25)&lt;7),IF(ISERROR(VLOOKUP(L25,Fridag!$B$7:$G$40,4,FALSE))=TRUE,normtid,IF(VLOOKUP(L25,Fridag!$B$7:$G$40,4,TRUE)=0,"ej sem",VLOOKUP(L25,Fridag!$B$7:$G$40,4,TRUE)*normtid)),"ej sem")</f>
        <v>ej sem</v>
      </c>
      <c r="N25" s="138" t="str">
        <f>IF(ISERROR(VLOOKUP(L25,Fridag!$B$7:$G$38,5,FALSE))=TRUE,"",VLOOKUP(L25,Fridag!$B$7:$G$38,5,TRUE))</f>
        <v/>
      </c>
      <c r="O25" s="137">
        <f t="shared" si="5"/>
        <v>43971</v>
      </c>
      <c r="P25" s="136">
        <f>IF(AND(WEEKDAY(O25)&gt;1,WEEKDAY(O25)&lt;7),IF(ISERROR(VLOOKUP(O25,Fridag!$B$7:$G$40,4,FALSE))=TRUE,normtid,IF(VLOOKUP(O25,Fridag!$B$7:$G$40,4,TRUE)=0,"ej sem",VLOOKUP(O25,Fridag!$B$7:$G$40,4,TRUE)*normtid)),"ej sem")</f>
        <v>8</v>
      </c>
      <c r="Q25" s="138" t="str">
        <f>IF(ISERROR(VLOOKUP(O25,Fridag!$B$7:$G$38,5,FALSE))=TRUE,"",VLOOKUP(O25,Fridag!$B$7:$G$38,5,TRUE))</f>
        <v/>
      </c>
      <c r="R25" s="137">
        <f t="shared" si="6"/>
        <v>44002</v>
      </c>
      <c r="S25" s="136" t="str">
        <f>IF(AND(WEEKDAY(R25)&gt;1,WEEKDAY(R25)&lt;7),IF(ISERROR(VLOOKUP(R25,Fridag!$B$7:$G$40,4,FALSE))=TRUE,normtid,IF(VLOOKUP(R25,Fridag!$B$7:$G$40,4,TRUE)=0,"ej sem",VLOOKUP(R25,Fridag!$B$7:$G$40,4,TRUE)*normtid)),"ej sem")</f>
        <v>ej sem</v>
      </c>
      <c r="T25" s="138" t="str">
        <f>IF(ISERROR(VLOOKUP(R25,Fridag!$B$7:$G$38,5,FALSE))=TRUE,"",VLOOKUP(R25,Fridag!$B$7:$G$38,5,TRUE))</f>
        <v>Midsommarafton</v>
      </c>
      <c r="U25" s="137">
        <f t="shared" si="0"/>
        <v>44032</v>
      </c>
      <c r="V25" s="136" t="str">
        <f>IF(AND(WEEKDAY(U25)&gt;1,WEEKDAY(U25)&lt;7),IF(ISERROR(VLOOKUP(U25,Fridag!$B$7:$G$40,4,FALSE))=TRUE,normtid,IF(VLOOKUP(U25,Fridag!$B$7:$G$40,4,TRUE)=0,"ej sem",VLOOKUP(U25,Fridag!$B$7:$G$40,4,TRUE)*normtid)),"ej sem")</f>
        <v>ej sem</v>
      </c>
      <c r="W25" s="138" t="str">
        <f>IF(ISERROR(VLOOKUP(U25,Fridag!$B$7:$G$38,5,FALSE))=TRUE,"",VLOOKUP(U25,Fridag!$B$7:$G$38,5,TRUE))</f>
        <v/>
      </c>
      <c r="X25" s="137">
        <f t="shared" si="7"/>
        <v>44063</v>
      </c>
      <c r="Y25" s="136">
        <f>IF(AND(WEEKDAY(X25)&gt;1,WEEKDAY(X25)&lt;7),IF(ISERROR(VLOOKUP(X25,Fridag!$B$7:$G$40,4,FALSE))=TRUE,normtid,IF(VLOOKUP(X25,Fridag!$B$7:$G$40,4,TRUE)=0,"ej sem",VLOOKUP(X25,Fridag!$B$7:$G$40,4,TRUE)*normtid)),"ej sem")</f>
        <v>8</v>
      </c>
      <c r="Z25" s="138" t="str">
        <f>IF(ISERROR(VLOOKUP(X25,Fridag!$B$7:$G$38,5,FALSE))=TRUE,"",VLOOKUP(X25,Fridag!$B$7:$G$38,5,TRUE))</f>
        <v/>
      </c>
      <c r="AA25" s="137">
        <f t="shared" si="8"/>
        <v>44094</v>
      </c>
      <c r="AB25" s="136" t="str">
        <f>IF(AND(WEEKDAY(AA25)&gt;1,WEEKDAY(AA25)&lt;7),IF(ISERROR(VLOOKUP(AA25,Fridag!$B$7:$G$40,4,FALSE))=TRUE,normtid,IF(VLOOKUP(AA25,Fridag!$B$7:$G$40,4,TRUE)=0,"ej sem",VLOOKUP(AA25,Fridag!$B$7:$G$40,4,TRUE)*normtid)),"ej sem")</f>
        <v>ej sem</v>
      </c>
      <c r="AC25" s="138" t="str">
        <f>IF(ISERROR(VLOOKUP(AA25,Fridag!$B$7:$G$38,5,FALSE))=TRUE,"",VLOOKUP(AA25,Fridag!$B$7:$G$38,5,TRUE))</f>
        <v/>
      </c>
      <c r="AD25" s="137">
        <f t="shared" si="9"/>
        <v>44124</v>
      </c>
      <c r="AE25" s="136">
        <f>IF(AND(WEEKDAY(AD25)&gt;1,WEEKDAY(AD25)&lt;7),IF(ISERROR(VLOOKUP(AD25,Fridag!$B$7:$G$40,4,FALSE))=TRUE,normtid,IF(VLOOKUP(AD25,Fridag!$B$7:$G$40,4,TRUE)=0,"ej sem",VLOOKUP(AD25,Fridag!$B$7:$G$40,4,TRUE)*normtid)),"ej sem")</f>
        <v>8</v>
      </c>
      <c r="AF25" s="138" t="str">
        <f>IF(ISERROR(VLOOKUP(AD25,Fridag!$B$7:$G$38,5,FALSE))=TRUE,"",VLOOKUP(AD25,Fridag!$B$7:$G$38,5,TRUE))</f>
        <v/>
      </c>
      <c r="AG25" s="137">
        <f t="shared" si="10"/>
        <v>44155</v>
      </c>
      <c r="AH25" s="136">
        <f>IF(AND(WEEKDAY(AG25)&gt;1,WEEKDAY(AG25)&lt;7),IF(ISERROR(VLOOKUP(AG25,Fridag!$B$7:$G$40,4,FALSE))=TRUE,normtid,IF(VLOOKUP(AG25,Fridag!$B$7:$G$40,4,TRUE)=0,"ej sem",VLOOKUP(AG25,Fridag!$B$7:$G$40,4,TRUE)*normtid)),"ej sem")</f>
        <v>8</v>
      </c>
      <c r="AI25" s="138" t="str">
        <f>IF(ISERROR(VLOOKUP(AG25,Fridag!$B$7:$G$38,5,FALSE))=TRUE,"",VLOOKUP(AG25,Fridag!$B$7:$G$38,5,TRUE))</f>
        <v/>
      </c>
      <c r="AJ25" s="137">
        <f t="shared" si="11"/>
        <v>44185</v>
      </c>
      <c r="AK25" s="136" t="str">
        <f>IF(AND(WEEKDAY(AJ25)&gt;1,WEEKDAY(AJ25)&lt;7),IF(ISERROR(VLOOKUP(AJ25,Fridag!$B$7:$G$40,4,FALSE))=TRUE,normtid,IF(VLOOKUP(AJ25,Fridag!$B$7:$G$40,4,TRUE)=0,"ej sem",VLOOKUP(AJ25,Fridag!$B$7:$G$40,4,TRUE)*normtid)),"ej sem")</f>
        <v>ej sem</v>
      </c>
      <c r="AL25" s="138" t="str">
        <f>IF(ISERROR(VLOOKUP(AJ25,Fridag!$B$7:$G$38,5,FALSE))=TRUE,"",VLOOKUP(AJ25,Fridag!$B$7:$G$38,5,TRUE))</f>
        <v/>
      </c>
      <c r="AM25" s="471"/>
    </row>
    <row r="26" spans="1:39" s="472" customFormat="1">
      <c r="A26" s="122"/>
      <c r="B26" s="122"/>
      <c r="C26" s="135">
        <f t="shared" si="1"/>
        <v>43851</v>
      </c>
      <c r="D26" s="136">
        <f>IF(AND(WEEKDAY(C26)&gt;1,WEEKDAY(C26)&lt;7),IF(ISERROR(VLOOKUP(C26,Fridag!$B$7:$G$40,4,FALSE))=TRUE,normtid,IF(VLOOKUP(C26,Fridag!$B$7:$G$40,4,TRUE)=0,"ej sem",VLOOKUP(C26,Fridag!$B$7:$G$40,4,TRUE)*normtid)),"ej sem")</f>
        <v>8</v>
      </c>
      <c r="E26" s="138" t="str">
        <f>IF(ISERROR(VLOOKUP(C26,Fridag!$B$7:$G$38,5,FALSE))=TRUE,"",VLOOKUP(C26,Fridag!$B$7:$G$38,5,TRUE))</f>
        <v/>
      </c>
      <c r="F26" s="137">
        <f t="shared" si="2"/>
        <v>43882</v>
      </c>
      <c r="G26" s="136">
        <f>IF(AND(WEEKDAY(F26)&gt;1,WEEKDAY(F26)&lt;7),IF(ISERROR(VLOOKUP(F26,Fridag!$B$7:$G$40,4,FALSE))=TRUE,normtid,IF(VLOOKUP(F26,Fridag!$B$7:$G$40,4,TRUE)=0,"ej sem",VLOOKUP(F26,Fridag!$B$7:$G$40,4,TRUE)*normtid)),"ej sem")</f>
        <v>8</v>
      </c>
      <c r="H26" s="138" t="str">
        <f>IF(ISERROR(VLOOKUP(F26,Fridag!$B$7:$G$38,5,FALSE))=TRUE,"",VLOOKUP(F26,Fridag!$B$7:$G$38,5,TRUE))</f>
        <v/>
      </c>
      <c r="I26" s="137">
        <f t="shared" si="3"/>
        <v>43911</v>
      </c>
      <c r="J26" s="136">
        <f>IF(AND(WEEKDAY(I26)&gt;1,WEEKDAY(I26)&lt;7),IF(ISERROR(VLOOKUP(I26,Fridag!$B$7:$G$40,4,FALSE))=TRUE,normtid,IF(VLOOKUP(I26,Fridag!$B$7:$G$40,4,TRUE)=0,"ej sem",VLOOKUP(I26,Fridag!$B$7:$G$40,4,TRUE)*normtid)),"ej sem")</f>
        <v>8</v>
      </c>
      <c r="K26" s="138" t="str">
        <f>IF(ISERROR(VLOOKUP(I26,Fridag!$B$7:$G$38,5,FALSE))=TRUE,"",VLOOKUP(I26,Fridag!$B$7:$G$38,5,TRUE))</f>
        <v/>
      </c>
      <c r="L26" s="137">
        <f t="shared" si="4"/>
        <v>43942</v>
      </c>
      <c r="M26" s="136">
        <f>IF(AND(WEEKDAY(L26)&gt;1,WEEKDAY(L26)&lt;7),IF(ISERROR(VLOOKUP(L26,Fridag!$B$7:$G$40,4,FALSE))=TRUE,normtid,IF(VLOOKUP(L26,Fridag!$B$7:$G$40,4,TRUE)=0,"ej sem",VLOOKUP(L26,Fridag!$B$7:$G$40,4,TRUE)*normtid)),"ej sem")</f>
        <v>8</v>
      </c>
      <c r="N26" s="138" t="str">
        <f>IF(ISERROR(VLOOKUP(L26,Fridag!$B$7:$G$38,5,FALSE))=TRUE,"",VLOOKUP(L26,Fridag!$B$7:$G$38,5,TRUE))</f>
        <v/>
      </c>
      <c r="O26" s="137">
        <f t="shared" si="5"/>
        <v>43972</v>
      </c>
      <c r="P26" s="136">
        <f>IF(AND(WEEKDAY(O26)&gt;1,WEEKDAY(O26)&lt;7),IF(ISERROR(VLOOKUP(O26,Fridag!$B$7:$G$40,4,FALSE))=TRUE,normtid,IF(VLOOKUP(O26,Fridag!$B$7:$G$40,4,TRUE)=0,"ej sem",VLOOKUP(O26,Fridag!$B$7:$G$40,4,TRUE)*normtid)),"ej sem")</f>
        <v>8</v>
      </c>
      <c r="Q26" s="138" t="str">
        <f>IF(ISERROR(VLOOKUP(O26,Fridag!$B$7:$G$38,5,FALSE))=TRUE,"",VLOOKUP(O26,Fridag!$B$7:$G$38,5,TRUE))</f>
        <v/>
      </c>
      <c r="R26" s="137">
        <f t="shared" si="6"/>
        <v>44003</v>
      </c>
      <c r="S26" s="136" t="str">
        <f>IF(AND(WEEKDAY(R26)&gt;1,WEEKDAY(R26)&lt;7),IF(ISERROR(VLOOKUP(R26,Fridag!$B$7:$G$40,4,FALSE))=TRUE,normtid,IF(VLOOKUP(R26,Fridag!$B$7:$G$40,4,TRUE)=0,"ej sem",VLOOKUP(R26,Fridag!$B$7:$G$40,4,TRUE)*normtid)),"ej sem")</f>
        <v>ej sem</v>
      </c>
      <c r="T26" s="138" t="str">
        <f>IF(ISERROR(VLOOKUP(R26,Fridag!$B$7:$G$38,5,FALSE))=TRUE,"",VLOOKUP(R26,Fridag!$B$7:$G$38,5,TRUE))</f>
        <v>Midsommardagen</v>
      </c>
      <c r="U26" s="137">
        <f t="shared" si="0"/>
        <v>44033</v>
      </c>
      <c r="V26" s="136">
        <f>IF(AND(WEEKDAY(U26)&gt;1,WEEKDAY(U26)&lt;7),IF(ISERROR(VLOOKUP(U26,Fridag!$B$7:$G$40,4,FALSE))=TRUE,normtid,IF(VLOOKUP(U26,Fridag!$B$7:$G$40,4,TRUE)=0,"ej sem",VLOOKUP(U26,Fridag!$B$7:$G$40,4,TRUE)*normtid)),"ej sem")</f>
        <v>8</v>
      </c>
      <c r="W26" s="138" t="str">
        <f>IF(ISERROR(VLOOKUP(U26,Fridag!$B$7:$G$38,5,FALSE))=TRUE,"",VLOOKUP(U26,Fridag!$B$7:$G$38,5,TRUE))</f>
        <v/>
      </c>
      <c r="X26" s="137">
        <f t="shared" si="7"/>
        <v>44064</v>
      </c>
      <c r="Y26" s="136">
        <f>IF(AND(WEEKDAY(X26)&gt;1,WEEKDAY(X26)&lt;7),IF(ISERROR(VLOOKUP(X26,Fridag!$B$7:$G$40,4,FALSE))=TRUE,normtid,IF(VLOOKUP(X26,Fridag!$B$7:$G$40,4,TRUE)=0,"ej sem",VLOOKUP(X26,Fridag!$B$7:$G$40,4,TRUE)*normtid)),"ej sem")</f>
        <v>8</v>
      </c>
      <c r="Z26" s="138" t="str">
        <f>IF(ISERROR(VLOOKUP(X26,Fridag!$B$7:$G$38,5,FALSE))=TRUE,"",VLOOKUP(X26,Fridag!$B$7:$G$38,5,TRUE))</f>
        <v/>
      </c>
      <c r="AA26" s="137">
        <f t="shared" si="8"/>
        <v>44095</v>
      </c>
      <c r="AB26" s="136" t="str">
        <f>IF(AND(WEEKDAY(AA26)&gt;1,WEEKDAY(AA26)&lt;7),IF(ISERROR(VLOOKUP(AA26,Fridag!$B$7:$G$40,4,FALSE))=TRUE,normtid,IF(VLOOKUP(AA26,Fridag!$B$7:$G$40,4,TRUE)=0,"ej sem",VLOOKUP(AA26,Fridag!$B$7:$G$40,4,TRUE)*normtid)),"ej sem")</f>
        <v>ej sem</v>
      </c>
      <c r="AC26" s="138" t="str">
        <f>IF(ISERROR(VLOOKUP(AA26,Fridag!$B$7:$G$38,5,FALSE))=TRUE,"",VLOOKUP(AA26,Fridag!$B$7:$G$38,5,TRUE))</f>
        <v/>
      </c>
      <c r="AD26" s="137">
        <f t="shared" si="9"/>
        <v>44125</v>
      </c>
      <c r="AE26" s="136">
        <f>IF(AND(WEEKDAY(AD26)&gt;1,WEEKDAY(AD26)&lt;7),IF(ISERROR(VLOOKUP(AD26,Fridag!$B$7:$G$40,4,FALSE))=TRUE,normtid,IF(VLOOKUP(AD26,Fridag!$B$7:$G$40,4,TRUE)=0,"ej sem",VLOOKUP(AD26,Fridag!$B$7:$G$40,4,TRUE)*normtid)),"ej sem")</f>
        <v>8</v>
      </c>
      <c r="AF26" s="138" t="str">
        <f>IF(ISERROR(VLOOKUP(AD26,Fridag!$B$7:$G$38,5,FALSE))=TRUE,"",VLOOKUP(AD26,Fridag!$B$7:$G$38,5,TRUE))</f>
        <v/>
      </c>
      <c r="AG26" s="137">
        <f t="shared" si="10"/>
        <v>44156</v>
      </c>
      <c r="AH26" s="136">
        <f>IF(AND(WEEKDAY(AG26)&gt;1,WEEKDAY(AG26)&lt;7),IF(ISERROR(VLOOKUP(AG26,Fridag!$B$7:$G$40,4,FALSE))=TRUE,normtid,IF(VLOOKUP(AG26,Fridag!$B$7:$G$40,4,TRUE)=0,"ej sem",VLOOKUP(AG26,Fridag!$B$7:$G$40,4,TRUE)*normtid)),"ej sem")</f>
        <v>8</v>
      </c>
      <c r="AI26" s="138" t="str">
        <f>IF(ISERROR(VLOOKUP(AG26,Fridag!$B$7:$G$38,5,FALSE))=TRUE,"",VLOOKUP(AG26,Fridag!$B$7:$G$38,5,TRUE))</f>
        <v/>
      </c>
      <c r="AJ26" s="137">
        <f t="shared" si="11"/>
        <v>44186</v>
      </c>
      <c r="AK26" s="136" t="str">
        <f>IF(AND(WEEKDAY(AJ26)&gt;1,WEEKDAY(AJ26)&lt;7),IF(ISERROR(VLOOKUP(AJ26,Fridag!$B$7:$G$40,4,FALSE))=TRUE,normtid,IF(VLOOKUP(AJ26,Fridag!$B$7:$G$40,4,TRUE)=0,"ej sem",VLOOKUP(AJ26,Fridag!$B$7:$G$40,4,TRUE)*normtid)),"ej sem")</f>
        <v>ej sem</v>
      </c>
      <c r="AL26" s="138" t="str">
        <f>IF(ISERROR(VLOOKUP(AJ26,Fridag!$B$7:$G$38,5,FALSE))=TRUE,"",VLOOKUP(AJ26,Fridag!$B$7:$G$38,5,TRUE))</f>
        <v/>
      </c>
      <c r="AM26" s="471"/>
    </row>
    <row r="27" spans="1:39" s="472" customFormat="1">
      <c r="A27" s="122"/>
      <c r="B27" s="122"/>
      <c r="C27" s="135">
        <f t="shared" si="1"/>
        <v>43852</v>
      </c>
      <c r="D27" s="136">
        <f>IF(AND(WEEKDAY(C27)&gt;1,WEEKDAY(C27)&lt;7),IF(ISERROR(VLOOKUP(C27,Fridag!$B$7:$G$40,4,FALSE))=TRUE,normtid,IF(VLOOKUP(C27,Fridag!$B$7:$G$40,4,TRUE)=0,"ej sem",VLOOKUP(C27,Fridag!$B$7:$G$40,4,TRUE)*normtid)),"ej sem")</f>
        <v>8</v>
      </c>
      <c r="E27" s="138" t="str">
        <f>IF(ISERROR(VLOOKUP(C27,Fridag!$B$7:$G$38,5,FALSE))=TRUE,"",VLOOKUP(C27,Fridag!$B$7:$G$38,5,TRUE))</f>
        <v/>
      </c>
      <c r="F27" s="137">
        <f t="shared" si="2"/>
        <v>43883</v>
      </c>
      <c r="G27" s="136">
        <f>IF(AND(WEEKDAY(F27)&gt;1,WEEKDAY(F27)&lt;7),IF(ISERROR(VLOOKUP(F27,Fridag!$B$7:$G$40,4,FALSE))=TRUE,normtid,IF(VLOOKUP(F27,Fridag!$B$7:$G$40,4,TRUE)=0,"ej sem",VLOOKUP(F27,Fridag!$B$7:$G$40,4,TRUE)*normtid)),"ej sem")</f>
        <v>8</v>
      </c>
      <c r="H27" s="138" t="str">
        <f>IF(ISERROR(VLOOKUP(F27,Fridag!$B$7:$G$38,5,FALSE))=TRUE,"",VLOOKUP(F27,Fridag!$B$7:$G$38,5,TRUE))</f>
        <v/>
      </c>
      <c r="I27" s="137">
        <f t="shared" si="3"/>
        <v>43912</v>
      </c>
      <c r="J27" s="136" t="str">
        <f>IF(AND(WEEKDAY(I27)&gt;1,WEEKDAY(I27)&lt;7),IF(ISERROR(VLOOKUP(I27,Fridag!$B$7:$G$40,4,FALSE))=TRUE,normtid,IF(VLOOKUP(I27,Fridag!$B$7:$G$40,4,TRUE)=0,"ej sem",VLOOKUP(I27,Fridag!$B$7:$G$40,4,TRUE)*normtid)),"ej sem")</f>
        <v>ej sem</v>
      </c>
      <c r="K27" s="138" t="str">
        <f>IF(ISERROR(VLOOKUP(I27,Fridag!$B$7:$G$38,5,FALSE))=TRUE,"",VLOOKUP(I27,Fridag!$B$7:$G$38,5,TRUE))</f>
        <v/>
      </c>
      <c r="L27" s="137">
        <f t="shared" si="4"/>
        <v>43943</v>
      </c>
      <c r="M27" s="136">
        <f>IF(AND(WEEKDAY(L27)&gt;1,WEEKDAY(L27)&lt;7),IF(ISERROR(VLOOKUP(L27,Fridag!$B$7:$G$40,4,FALSE))=TRUE,normtid,IF(VLOOKUP(L27,Fridag!$B$7:$G$40,4,TRUE)=0,"ej sem",VLOOKUP(L27,Fridag!$B$7:$G$40,4,TRUE)*normtid)),"ej sem")</f>
        <v>8</v>
      </c>
      <c r="N27" s="138" t="str">
        <f>IF(ISERROR(VLOOKUP(L27,Fridag!$B$7:$G$38,5,FALSE))=TRUE,"",VLOOKUP(L27,Fridag!$B$7:$G$38,5,TRUE))</f>
        <v/>
      </c>
      <c r="O27" s="137">
        <f t="shared" si="5"/>
        <v>43973</v>
      </c>
      <c r="P27" s="136">
        <f>IF(AND(WEEKDAY(O27)&gt;1,WEEKDAY(O27)&lt;7),IF(ISERROR(VLOOKUP(O27,Fridag!$B$7:$G$40,4,FALSE))=TRUE,normtid,IF(VLOOKUP(O27,Fridag!$B$7:$G$40,4,TRUE)=0,"ej sem",VLOOKUP(O27,Fridag!$B$7:$G$40,4,TRUE)*normtid)),"ej sem")</f>
        <v>8</v>
      </c>
      <c r="Q27" s="138" t="str">
        <f>IF(ISERROR(VLOOKUP(O27,Fridag!$B$7:$G$38,5,FALSE))=TRUE,"",VLOOKUP(O27,Fridag!$B$7:$G$38,5,TRUE))</f>
        <v/>
      </c>
      <c r="R27" s="137">
        <f t="shared" si="6"/>
        <v>44004</v>
      </c>
      <c r="S27" s="136" t="str">
        <f>IF(AND(WEEKDAY(R27)&gt;1,WEEKDAY(R27)&lt;7),IF(ISERROR(VLOOKUP(R27,Fridag!$B$7:$G$40,4,FALSE))=TRUE,normtid,IF(VLOOKUP(R27,Fridag!$B$7:$G$40,4,TRUE)=0,"ej sem",VLOOKUP(R27,Fridag!$B$7:$G$40,4,TRUE)*normtid)),"ej sem")</f>
        <v>ej sem</v>
      </c>
      <c r="T27" s="138" t="str">
        <f>IF(ISERROR(VLOOKUP(R27,Fridag!$B$7:$G$38,5,FALSE))=TRUE,"",VLOOKUP(R27,Fridag!$B$7:$G$38,5,TRUE))</f>
        <v/>
      </c>
      <c r="U27" s="137">
        <f t="shared" si="0"/>
        <v>44034</v>
      </c>
      <c r="V27" s="136">
        <f>IF(AND(WEEKDAY(U27)&gt;1,WEEKDAY(U27)&lt;7),IF(ISERROR(VLOOKUP(U27,Fridag!$B$7:$G$40,4,FALSE))=TRUE,normtid,IF(VLOOKUP(U27,Fridag!$B$7:$G$40,4,TRUE)=0,"ej sem",VLOOKUP(U27,Fridag!$B$7:$G$40,4,TRUE)*normtid)),"ej sem")</f>
        <v>8</v>
      </c>
      <c r="W27" s="138" t="str">
        <f>IF(ISERROR(VLOOKUP(U27,Fridag!$B$7:$G$38,5,FALSE))=TRUE,"",VLOOKUP(U27,Fridag!$B$7:$G$38,5,TRUE))</f>
        <v/>
      </c>
      <c r="X27" s="137">
        <f t="shared" si="7"/>
        <v>44065</v>
      </c>
      <c r="Y27" s="136">
        <f>IF(AND(WEEKDAY(X27)&gt;1,WEEKDAY(X27)&lt;7),IF(ISERROR(VLOOKUP(X27,Fridag!$B$7:$G$40,4,FALSE))=TRUE,normtid,IF(VLOOKUP(X27,Fridag!$B$7:$G$40,4,TRUE)=0,"ej sem",VLOOKUP(X27,Fridag!$B$7:$G$40,4,TRUE)*normtid)),"ej sem")</f>
        <v>8</v>
      </c>
      <c r="Z27" s="138" t="str">
        <f>IF(ISERROR(VLOOKUP(X27,Fridag!$B$7:$G$38,5,FALSE))=TRUE,"",VLOOKUP(X27,Fridag!$B$7:$G$38,5,TRUE))</f>
        <v/>
      </c>
      <c r="AA27" s="137">
        <f t="shared" si="8"/>
        <v>44096</v>
      </c>
      <c r="AB27" s="136">
        <f>IF(AND(WEEKDAY(AA27)&gt;1,WEEKDAY(AA27)&lt;7),IF(ISERROR(VLOOKUP(AA27,Fridag!$B$7:$G$40,4,FALSE))=TRUE,normtid,IF(VLOOKUP(AA27,Fridag!$B$7:$G$40,4,TRUE)=0,"ej sem",VLOOKUP(AA27,Fridag!$B$7:$G$40,4,TRUE)*normtid)),"ej sem")</f>
        <v>8</v>
      </c>
      <c r="AC27" s="138" t="str">
        <f>IF(ISERROR(VLOOKUP(AA27,Fridag!$B$7:$G$38,5,FALSE))=TRUE,"",VLOOKUP(AA27,Fridag!$B$7:$G$38,5,TRUE))</f>
        <v/>
      </c>
      <c r="AD27" s="137">
        <f t="shared" si="9"/>
        <v>44126</v>
      </c>
      <c r="AE27" s="136">
        <f>IF(AND(WEEKDAY(AD27)&gt;1,WEEKDAY(AD27)&lt;7),IF(ISERROR(VLOOKUP(AD27,Fridag!$B$7:$G$40,4,FALSE))=TRUE,normtid,IF(VLOOKUP(AD27,Fridag!$B$7:$G$40,4,TRUE)=0,"ej sem",VLOOKUP(AD27,Fridag!$B$7:$G$40,4,TRUE)*normtid)),"ej sem")</f>
        <v>8</v>
      </c>
      <c r="AF27" s="138" t="str">
        <f>IF(ISERROR(VLOOKUP(AD27,Fridag!$B$7:$G$38,5,FALSE))=TRUE,"",VLOOKUP(AD27,Fridag!$B$7:$G$38,5,TRUE))</f>
        <v/>
      </c>
      <c r="AG27" s="137">
        <f t="shared" si="10"/>
        <v>44157</v>
      </c>
      <c r="AH27" s="136" t="str">
        <f>IF(AND(WEEKDAY(AG27)&gt;1,WEEKDAY(AG27)&lt;7),IF(ISERROR(VLOOKUP(AG27,Fridag!$B$7:$G$40,4,FALSE))=TRUE,normtid,IF(VLOOKUP(AG27,Fridag!$B$7:$G$40,4,TRUE)=0,"ej sem",VLOOKUP(AG27,Fridag!$B$7:$G$40,4,TRUE)*normtid)),"ej sem")</f>
        <v>ej sem</v>
      </c>
      <c r="AI27" s="138" t="str">
        <f>IF(ISERROR(VLOOKUP(AG27,Fridag!$B$7:$G$38,5,FALSE))=TRUE,"",VLOOKUP(AG27,Fridag!$B$7:$G$38,5,TRUE))</f>
        <v/>
      </c>
      <c r="AJ27" s="137">
        <f t="shared" si="11"/>
        <v>44187</v>
      </c>
      <c r="AK27" s="136" t="str">
        <f>IF(AND(WEEKDAY(AJ27)&gt;1,WEEKDAY(AJ27)&lt;7),IF(ISERROR(VLOOKUP(AJ27,Fridag!$B$7:$G$40,4,FALSE))=TRUE,normtid,IF(VLOOKUP(AJ27,Fridag!$B$7:$G$40,4,TRUE)=0,"ej sem",VLOOKUP(AJ27,Fridag!$B$7:$G$40,4,TRUE)*normtid)),"ej sem")</f>
        <v>ej sem</v>
      </c>
      <c r="AL27" s="138" t="str">
        <f>IF(ISERROR(VLOOKUP(AJ27,Fridag!$B$7:$G$38,5,FALSE))=TRUE,"",VLOOKUP(AJ27,Fridag!$B$7:$G$38,5,TRUE))</f>
        <v>Klämdag</v>
      </c>
      <c r="AM27" s="471"/>
    </row>
    <row r="28" spans="1:39" s="472" customFormat="1">
      <c r="A28" s="538" t="str">
        <f>Felinfo!H7</f>
        <v>Flex 99:02F • huk-51 • ©</v>
      </c>
      <c r="B28" s="473"/>
      <c r="C28" s="135">
        <f t="shared" si="1"/>
        <v>43853</v>
      </c>
      <c r="D28" s="136">
        <f>IF(AND(WEEKDAY(C28)&gt;1,WEEKDAY(C28)&lt;7),IF(ISERROR(VLOOKUP(C28,Fridag!$B$7:$G$40,4,FALSE))=TRUE,normtid,IF(VLOOKUP(C28,Fridag!$B$7:$G$40,4,TRUE)=0,"ej sem",VLOOKUP(C28,Fridag!$B$7:$G$40,4,TRUE)*normtid)),"ej sem")</f>
        <v>8</v>
      </c>
      <c r="E28" s="138" t="str">
        <f>IF(ISERROR(VLOOKUP(C28,Fridag!$B$7:$G$38,5,FALSE))=TRUE,"",VLOOKUP(C28,Fridag!$B$7:$G$38,5,TRUE))</f>
        <v/>
      </c>
      <c r="F28" s="137">
        <f t="shared" si="2"/>
        <v>43884</v>
      </c>
      <c r="G28" s="136" t="str">
        <f>IF(AND(WEEKDAY(F28)&gt;1,WEEKDAY(F28)&lt;7),IF(ISERROR(VLOOKUP(F28,Fridag!$B$7:$G$40,4,FALSE))=TRUE,normtid,IF(VLOOKUP(F28,Fridag!$B$7:$G$40,4,TRUE)=0,"ej sem",VLOOKUP(F28,Fridag!$B$7:$G$40,4,TRUE)*normtid)),"ej sem")</f>
        <v>ej sem</v>
      </c>
      <c r="H28" s="138" t="str">
        <f>IF(ISERROR(VLOOKUP(F28,Fridag!$B$7:$G$38,5,FALSE))=TRUE,"",VLOOKUP(F28,Fridag!$B$7:$G$38,5,TRUE))</f>
        <v/>
      </c>
      <c r="I28" s="137">
        <f t="shared" si="3"/>
        <v>43913</v>
      </c>
      <c r="J28" s="136" t="str">
        <f>IF(AND(WEEKDAY(I28)&gt;1,WEEKDAY(I28)&lt;7),IF(ISERROR(VLOOKUP(I28,Fridag!$B$7:$G$40,4,FALSE))=TRUE,normtid,IF(VLOOKUP(I28,Fridag!$B$7:$G$40,4,TRUE)=0,"ej sem",VLOOKUP(I28,Fridag!$B$7:$G$40,4,TRUE)*normtid)),"ej sem")</f>
        <v>ej sem</v>
      </c>
      <c r="K28" s="138" t="str">
        <f>IF(ISERROR(VLOOKUP(I28,Fridag!$B$7:$G$38,5,FALSE))=TRUE,"",VLOOKUP(I28,Fridag!$B$7:$G$38,5,TRUE))</f>
        <v/>
      </c>
      <c r="L28" s="137">
        <f t="shared" si="4"/>
        <v>43944</v>
      </c>
      <c r="M28" s="136">
        <f>IF(AND(WEEKDAY(L28)&gt;1,WEEKDAY(L28)&lt;7),IF(ISERROR(VLOOKUP(L28,Fridag!$B$7:$G$40,4,FALSE))=TRUE,normtid,IF(VLOOKUP(L28,Fridag!$B$7:$G$40,4,TRUE)=0,"ej sem",VLOOKUP(L28,Fridag!$B$7:$G$40,4,TRUE)*normtid)),"ej sem")</f>
        <v>8</v>
      </c>
      <c r="N28" s="138" t="str">
        <f>IF(ISERROR(VLOOKUP(L28,Fridag!$B$7:$G$38,5,FALSE))=TRUE,"",VLOOKUP(L28,Fridag!$B$7:$G$38,5,TRUE))</f>
        <v/>
      </c>
      <c r="O28" s="137">
        <f t="shared" si="5"/>
        <v>43974</v>
      </c>
      <c r="P28" s="136">
        <f>IF(AND(WEEKDAY(O28)&gt;1,WEEKDAY(O28)&lt;7),IF(ISERROR(VLOOKUP(O28,Fridag!$B$7:$G$40,4,FALSE))=TRUE,normtid,IF(VLOOKUP(O28,Fridag!$B$7:$G$40,4,TRUE)=0,"ej sem",VLOOKUP(O28,Fridag!$B$7:$G$40,4,TRUE)*normtid)),"ej sem")</f>
        <v>8</v>
      </c>
      <c r="Q28" s="138" t="str">
        <f>IF(ISERROR(VLOOKUP(O28,Fridag!$B$7:$G$38,5,FALSE))=TRUE,"",VLOOKUP(O28,Fridag!$B$7:$G$38,5,TRUE))</f>
        <v/>
      </c>
      <c r="R28" s="137">
        <f t="shared" si="6"/>
        <v>44005</v>
      </c>
      <c r="S28" s="136">
        <f>IF(AND(WEEKDAY(R28)&gt;1,WEEKDAY(R28)&lt;7),IF(ISERROR(VLOOKUP(R28,Fridag!$B$7:$G$40,4,FALSE))=TRUE,normtid,IF(VLOOKUP(R28,Fridag!$B$7:$G$40,4,TRUE)=0,"ej sem",VLOOKUP(R28,Fridag!$B$7:$G$40,4,TRUE)*normtid)),"ej sem")</f>
        <v>8</v>
      </c>
      <c r="T28" s="138" t="str">
        <f>IF(ISERROR(VLOOKUP(R28,Fridag!$B$7:$G$38,5,FALSE))=TRUE,"",VLOOKUP(R28,Fridag!$B$7:$G$38,5,TRUE))</f>
        <v/>
      </c>
      <c r="U28" s="137">
        <f t="shared" si="0"/>
        <v>44035</v>
      </c>
      <c r="V28" s="136">
        <f>IF(AND(WEEKDAY(U28)&gt;1,WEEKDAY(U28)&lt;7),IF(ISERROR(VLOOKUP(U28,Fridag!$B$7:$G$40,4,FALSE))=TRUE,normtid,IF(VLOOKUP(U28,Fridag!$B$7:$G$40,4,TRUE)=0,"ej sem",VLOOKUP(U28,Fridag!$B$7:$G$40,4,TRUE)*normtid)),"ej sem")</f>
        <v>8</v>
      </c>
      <c r="W28" s="138" t="str">
        <f>IF(ISERROR(VLOOKUP(U28,Fridag!$B$7:$G$38,5,FALSE))=TRUE,"",VLOOKUP(U28,Fridag!$B$7:$G$38,5,TRUE))</f>
        <v/>
      </c>
      <c r="X28" s="137">
        <f t="shared" si="7"/>
        <v>44066</v>
      </c>
      <c r="Y28" s="136" t="str">
        <f>IF(AND(WEEKDAY(X28)&gt;1,WEEKDAY(X28)&lt;7),IF(ISERROR(VLOOKUP(X28,Fridag!$B$7:$G$40,4,FALSE))=TRUE,normtid,IF(VLOOKUP(X28,Fridag!$B$7:$G$40,4,TRUE)=0,"ej sem",VLOOKUP(X28,Fridag!$B$7:$G$40,4,TRUE)*normtid)),"ej sem")</f>
        <v>ej sem</v>
      </c>
      <c r="Z28" s="138" t="str">
        <f>IF(ISERROR(VLOOKUP(X28,Fridag!$B$7:$G$38,5,FALSE))=TRUE,"",VLOOKUP(X28,Fridag!$B$7:$G$38,5,TRUE))</f>
        <v/>
      </c>
      <c r="AA28" s="137">
        <f t="shared" si="8"/>
        <v>44097</v>
      </c>
      <c r="AB28" s="136">
        <f>IF(AND(WEEKDAY(AA28)&gt;1,WEEKDAY(AA28)&lt;7),IF(ISERROR(VLOOKUP(AA28,Fridag!$B$7:$G$40,4,FALSE))=TRUE,normtid,IF(VLOOKUP(AA28,Fridag!$B$7:$G$40,4,TRUE)=0,"ej sem",VLOOKUP(AA28,Fridag!$B$7:$G$40,4,TRUE)*normtid)),"ej sem")</f>
        <v>8</v>
      </c>
      <c r="AC28" s="138" t="str">
        <f>IF(ISERROR(VLOOKUP(AA28,Fridag!$B$7:$G$38,5,FALSE))=TRUE,"",VLOOKUP(AA28,Fridag!$B$7:$G$38,5,TRUE))</f>
        <v/>
      </c>
      <c r="AD28" s="137">
        <f t="shared" si="9"/>
        <v>44127</v>
      </c>
      <c r="AE28" s="136">
        <f>IF(AND(WEEKDAY(AD28)&gt;1,WEEKDAY(AD28)&lt;7),IF(ISERROR(VLOOKUP(AD28,Fridag!$B$7:$G$40,4,FALSE))=TRUE,normtid,IF(VLOOKUP(AD28,Fridag!$B$7:$G$40,4,TRUE)=0,"ej sem",VLOOKUP(AD28,Fridag!$B$7:$G$40,4,TRUE)*normtid)),"ej sem")</f>
        <v>8</v>
      </c>
      <c r="AF28" s="138" t="str">
        <f>IF(ISERROR(VLOOKUP(AD28,Fridag!$B$7:$G$38,5,FALSE))=TRUE,"",VLOOKUP(AD28,Fridag!$B$7:$G$38,5,TRUE))</f>
        <v/>
      </c>
      <c r="AG28" s="137">
        <f t="shared" si="10"/>
        <v>44158</v>
      </c>
      <c r="AH28" s="136" t="str">
        <f>IF(AND(WEEKDAY(AG28)&gt;1,WEEKDAY(AG28)&lt;7),IF(ISERROR(VLOOKUP(AG28,Fridag!$B$7:$G$40,4,FALSE))=TRUE,normtid,IF(VLOOKUP(AG28,Fridag!$B$7:$G$40,4,TRUE)=0,"ej sem",VLOOKUP(AG28,Fridag!$B$7:$G$40,4,TRUE)*normtid)),"ej sem")</f>
        <v>ej sem</v>
      </c>
      <c r="AI28" s="138" t="str">
        <f>IF(ISERROR(VLOOKUP(AG28,Fridag!$B$7:$G$38,5,FALSE))=TRUE,"",VLOOKUP(AG28,Fridag!$B$7:$G$38,5,TRUE))</f>
        <v/>
      </c>
      <c r="AJ28" s="137">
        <f t="shared" si="11"/>
        <v>44188</v>
      </c>
      <c r="AK28" s="136" t="str">
        <f>IF(AND(WEEKDAY(AJ28)&gt;1,WEEKDAY(AJ28)&lt;7),IF(ISERROR(VLOOKUP(AJ28,Fridag!$B$7:$G$40,4,FALSE))=TRUE,normtid,IF(VLOOKUP(AJ28,Fridag!$B$7:$G$40,4,TRUE)=0,"ej sem",VLOOKUP(AJ28,Fridag!$B$7:$G$40,4,TRUE)*normtid)),"ej sem")</f>
        <v>ej sem</v>
      </c>
      <c r="AL28" s="138" t="str">
        <f>IF(ISERROR(VLOOKUP(AJ28,Fridag!$B$7:$G$38,5,FALSE))=TRUE,"",VLOOKUP(AJ28,Fridag!$B$7:$G$38,5,TRUE))</f>
        <v>Julafton</v>
      </c>
      <c r="AM28" s="471"/>
    </row>
    <row r="29" spans="1:39" s="472" customFormat="1" ht="12.75" customHeight="1">
      <c r="A29" s="539"/>
      <c r="B29" s="265"/>
      <c r="C29" s="135">
        <f t="shared" si="1"/>
        <v>43854</v>
      </c>
      <c r="D29" s="136">
        <f>IF(AND(WEEKDAY(C29)&gt;1,WEEKDAY(C29)&lt;7),IF(ISERROR(VLOOKUP(C29,Fridag!$B$7:$G$40,4,FALSE))=TRUE,normtid,IF(VLOOKUP(C29,Fridag!$B$7:$G$40,4,TRUE)=0,"ej sem",VLOOKUP(C29,Fridag!$B$7:$G$40,4,TRUE)*normtid)),"ej sem")</f>
        <v>8</v>
      </c>
      <c r="E29" s="138" t="str">
        <f>IF(ISERROR(VLOOKUP(C29,Fridag!$B$7:$G$38,5,FALSE))=TRUE,"",VLOOKUP(C29,Fridag!$B$7:$G$38,5,TRUE))</f>
        <v/>
      </c>
      <c r="F29" s="137">
        <f t="shared" si="2"/>
        <v>43885</v>
      </c>
      <c r="G29" s="136" t="str">
        <f>IF(AND(WEEKDAY(F29)&gt;1,WEEKDAY(F29)&lt;7),IF(ISERROR(VLOOKUP(F29,Fridag!$B$7:$G$40,4,FALSE))=TRUE,normtid,IF(VLOOKUP(F29,Fridag!$B$7:$G$40,4,TRUE)=0,"ej sem",VLOOKUP(F29,Fridag!$B$7:$G$40,4,TRUE)*normtid)),"ej sem")</f>
        <v>ej sem</v>
      </c>
      <c r="H29" s="138" t="str">
        <f>IF(ISERROR(VLOOKUP(F29,Fridag!$B$7:$G$38,5,FALSE))=TRUE,"",VLOOKUP(F29,Fridag!$B$7:$G$38,5,TRUE))</f>
        <v/>
      </c>
      <c r="I29" s="137">
        <f t="shared" si="3"/>
        <v>43914</v>
      </c>
      <c r="J29" s="136">
        <f>IF(AND(WEEKDAY(I29)&gt;1,WEEKDAY(I29)&lt;7),IF(ISERROR(VLOOKUP(I29,Fridag!$B$7:$G$40,4,FALSE))=TRUE,normtid,IF(VLOOKUP(I29,Fridag!$B$7:$G$40,4,TRUE)=0,"ej sem",VLOOKUP(I29,Fridag!$B$7:$G$40,4,TRUE)*normtid)),"ej sem")</f>
        <v>8</v>
      </c>
      <c r="K29" s="138" t="str">
        <f>IF(ISERROR(VLOOKUP(I29,Fridag!$B$7:$G$38,5,FALSE))=TRUE,"",VLOOKUP(I29,Fridag!$B$7:$G$38,5,TRUE))</f>
        <v/>
      </c>
      <c r="L29" s="137">
        <f t="shared" si="4"/>
        <v>43945</v>
      </c>
      <c r="M29" s="136">
        <f>IF(AND(WEEKDAY(L29)&gt;1,WEEKDAY(L29)&lt;7),IF(ISERROR(VLOOKUP(L29,Fridag!$B$7:$G$40,4,FALSE))=TRUE,normtid,IF(VLOOKUP(L29,Fridag!$B$7:$G$40,4,TRUE)=0,"ej sem",VLOOKUP(L29,Fridag!$B$7:$G$40,4,TRUE)*normtid)),"ej sem")</f>
        <v>8</v>
      </c>
      <c r="N29" s="138" t="str">
        <f>IF(ISERROR(VLOOKUP(L29,Fridag!$B$7:$G$38,5,FALSE))=TRUE,"",VLOOKUP(L29,Fridag!$B$7:$G$38,5,TRUE))</f>
        <v/>
      </c>
      <c r="O29" s="137">
        <f t="shared" si="5"/>
        <v>43975</v>
      </c>
      <c r="P29" s="136" t="str">
        <f>IF(AND(WEEKDAY(O29)&gt;1,WEEKDAY(O29)&lt;7),IF(ISERROR(VLOOKUP(O29,Fridag!$B$7:$G$40,4,FALSE))=TRUE,normtid,IF(VLOOKUP(O29,Fridag!$B$7:$G$40,4,TRUE)=0,"ej sem",VLOOKUP(O29,Fridag!$B$7:$G$40,4,TRUE)*normtid)),"ej sem")</f>
        <v>ej sem</v>
      </c>
      <c r="Q29" s="138" t="str">
        <f>IF(ISERROR(VLOOKUP(O29,Fridag!$B$7:$G$38,5,FALSE))=TRUE,"",VLOOKUP(O29,Fridag!$B$7:$G$38,5,TRUE))</f>
        <v/>
      </c>
      <c r="R29" s="137">
        <f t="shared" si="6"/>
        <v>44006</v>
      </c>
      <c r="S29" s="136">
        <f>IF(AND(WEEKDAY(R29)&gt;1,WEEKDAY(R29)&lt;7),IF(ISERROR(VLOOKUP(R29,Fridag!$B$7:$G$40,4,FALSE))=TRUE,normtid,IF(VLOOKUP(R29,Fridag!$B$7:$G$40,4,TRUE)=0,"ej sem",VLOOKUP(R29,Fridag!$B$7:$G$40,4,TRUE)*normtid)),"ej sem")</f>
        <v>8</v>
      </c>
      <c r="T29" s="138" t="str">
        <f>IF(ISERROR(VLOOKUP(R29,Fridag!$B$7:$G$38,5,FALSE))=TRUE,"",VLOOKUP(R29,Fridag!$B$7:$G$38,5,TRUE))</f>
        <v/>
      </c>
      <c r="U29" s="137">
        <f t="shared" si="0"/>
        <v>44036</v>
      </c>
      <c r="V29" s="136">
        <f>IF(AND(WEEKDAY(U29)&gt;1,WEEKDAY(U29)&lt;7),IF(ISERROR(VLOOKUP(U29,Fridag!$B$7:$G$40,4,FALSE))=TRUE,normtid,IF(VLOOKUP(U29,Fridag!$B$7:$G$40,4,TRUE)=0,"ej sem",VLOOKUP(U29,Fridag!$B$7:$G$40,4,TRUE)*normtid)),"ej sem")</f>
        <v>8</v>
      </c>
      <c r="W29" s="138" t="str">
        <f>IF(ISERROR(VLOOKUP(U29,Fridag!$B$7:$G$38,5,FALSE))=TRUE,"",VLOOKUP(U29,Fridag!$B$7:$G$38,5,TRUE))</f>
        <v/>
      </c>
      <c r="X29" s="137">
        <f t="shared" si="7"/>
        <v>44067</v>
      </c>
      <c r="Y29" s="136" t="str">
        <f>IF(AND(WEEKDAY(X29)&gt;1,WEEKDAY(X29)&lt;7),IF(ISERROR(VLOOKUP(X29,Fridag!$B$7:$G$40,4,FALSE))=TRUE,normtid,IF(VLOOKUP(X29,Fridag!$B$7:$G$40,4,TRUE)=0,"ej sem",VLOOKUP(X29,Fridag!$B$7:$G$40,4,TRUE)*normtid)),"ej sem")</f>
        <v>ej sem</v>
      </c>
      <c r="Z29" s="138" t="str">
        <f>IF(ISERROR(VLOOKUP(X29,Fridag!$B$7:$G$38,5,FALSE))=TRUE,"",VLOOKUP(X29,Fridag!$B$7:$G$38,5,TRUE))</f>
        <v/>
      </c>
      <c r="AA29" s="137">
        <f t="shared" si="8"/>
        <v>44098</v>
      </c>
      <c r="AB29" s="136">
        <f>IF(AND(WEEKDAY(AA29)&gt;1,WEEKDAY(AA29)&lt;7),IF(ISERROR(VLOOKUP(AA29,Fridag!$B$7:$G$40,4,FALSE))=TRUE,normtid,IF(VLOOKUP(AA29,Fridag!$B$7:$G$40,4,TRUE)=0,"ej sem",VLOOKUP(AA29,Fridag!$B$7:$G$40,4,TRUE)*normtid)),"ej sem")</f>
        <v>8</v>
      </c>
      <c r="AC29" s="138" t="str">
        <f>IF(ISERROR(VLOOKUP(AA29,Fridag!$B$7:$G$38,5,FALSE))=TRUE,"",VLOOKUP(AA29,Fridag!$B$7:$G$38,5,TRUE))</f>
        <v/>
      </c>
      <c r="AD29" s="137">
        <f t="shared" si="9"/>
        <v>44128</v>
      </c>
      <c r="AE29" s="136">
        <f>IF(AND(WEEKDAY(AD29)&gt;1,WEEKDAY(AD29)&lt;7),IF(ISERROR(VLOOKUP(AD29,Fridag!$B$7:$G$40,4,FALSE))=TRUE,normtid,IF(VLOOKUP(AD29,Fridag!$B$7:$G$40,4,TRUE)=0,"ej sem",VLOOKUP(AD29,Fridag!$B$7:$G$40,4,TRUE)*normtid)),"ej sem")</f>
        <v>8</v>
      </c>
      <c r="AF29" s="138" t="str">
        <f>IF(ISERROR(VLOOKUP(AD29,Fridag!$B$7:$G$38,5,FALSE))=TRUE,"",VLOOKUP(AD29,Fridag!$B$7:$G$38,5,TRUE))</f>
        <v/>
      </c>
      <c r="AG29" s="137">
        <f t="shared" si="10"/>
        <v>44159</v>
      </c>
      <c r="AH29" s="136">
        <f>IF(AND(WEEKDAY(AG29)&gt;1,WEEKDAY(AG29)&lt;7),IF(ISERROR(VLOOKUP(AG29,Fridag!$B$7:$G$40,4,FALSE))=TRUE,normtid,IF(VLOOKUP(AG29,Fridag!$B$7:$G$40,4,TRUE)=0,"ej sem",VLOOKUP(AG29,Fridag!$B$7:$G$40,4,TRUE)*normtid)),"ej sem")</f>
        <v>8</v>
      </c>
      <c r="AI29" s="138" t="str">
        <f>IF(ISERROR(VLOOKUP(AG29,Fridag!$B$7:$G$38,5,FALSE))=TRUE,"",VLOOKUP(AG29,Fridag!$B$7:$G$38,5,TRUE))</f>
        <v/>
      </c>
      <c r="AJ29" s="137">
        <f t="shared" si="11"/>
        <v>44189</v>
      </c>
      <c r="AK29" s="136" t="str">
        <f>IF(AND(WEEKDAY(AJ29)&gt;1,WEEKDAY(AJ29)&lt;7),IF(ISERROR(VLOOKUP(AJ29,Fridag!$B$7:$G$40,4,FALSE))=TRUE,normtid,IF(VLOOKUP(AJ29,Fridag!$B$7:$G$40,4,TRUE)=0,"ej sem",VLOOKUP(AJ29,Fridag!$B$7:$G$40,4,TRUE)*normtid)),"ej sem")</f>
        <v>ej sem</v>
      </c>
      <c r="AL29" s="138" t="str">
        <f>IF(ISERROR(VLOOKUP(AJ29,Fridag!$B$7:$G$38,5,FALSE))=TRUE,"",VLOOKUP(AJ29,Fridag!$B$7:$G$38,5,TRUE))</f>
        <v>Juldagen</v>
      </c>
      <c r="AM29" s="471"/>
    </row>
    <row r="30" spans="1:39" s="472" customFormat="1">
      <c r="A30" s="539"/>
      <c r="B30" s="265"/>
      <c r="C30" s="135">
        <f t="shared" si="1"/>
        <v>43855</v>
      </c>
      <c r="D30" s="136">
        <f>IF(AND(WEEKDAY(C30)&gt;1,WEEKDAY(C30)&lt;7),IF(ISERROR(VLOOKUP(C30,Fridag!$B$7:$G$40,4,FALSE))=TRUE,normtid,IF(VLOOKUP(C30,Fridag!$B$7:$G$40,4,TRUE)=0,"ej sem",VLOOKUP(C30,Fridag!$B$7:$G$40,4,TRUE)*normtid)),"ej sem")</f>
        <v>8</v>
      </c>
      <c r="E30" s="138" t="str">
        <f>IF(ISERROR(VLOOKUP(C30,Fridag!$B$7:$G$38,5,FALSE))=TRUE,"",VLOOKUP(C30,Fridag!$B$7:$G$38,5,TRUE))</f>
        <v/>
      </c>
      <c r="F30" s="137">
        <f t="shared" si="2"/>
        <v>43886</v>
      </c>
      <c r="G30" s="136">
        <f>IF(AND(WEEKDAY(F30)&gt;1,WEEKDAY(F30)&lt;7),IF(ISERROR(VLOOKUP(F30,Fridag!$B$7:$G$40,4,FALSE))=TRUE,normtid,IF(VLOOKUP(F30,Fridag!$B$7:$G$40,4,TRUE)=0,"ej sem",VLOOKUP(F30,Fridag!$B$7:$G$40,4,TRUE)*normtid)),"ej sem")</f>
        <v>8</v>
      </c>
      <c r="H30" s="138" t="str">
        <f>IF(ISERROR(VLOOKUP(F30,Fridag!$B$7:$G$38,5,FALSE))=TRUE,"",VLOOKUP(F30,Fridag!$B$7:$G$38,5,TRUE))</f>
        <v/>
      </c>
      <c r="I30" s="137">
        <f t="shared" si="3"/>
        <v>43915</v>
      </c>
      <c r="J30" s="136">
        <f>IF(AND(WEEKDAY(I30)&gt;1,WEEKDAY(I30)&lt;7),IF(ISERROR(VLOOKUP(I30,Fridag!$B$7:$G$40,4,FALSE))=TRUE,normtid,IF(VLOOKUP(I30,Fridag!$B$7:$G$40,4,TRUE)=0,"ej sem",VLOOKUP(I30,Fridag!$B$7:$G$40,4,TRUE)*normtid)),"ej sem")</f>
        <v>8</v>
      </c>
      <c r="K30" s="138" t="str">
        <f>IF(ISERROR(VLOOKUP(I30,Fridag!$B$7:$G$38,5,FALSE))=TRUE,"",VLOOKUP(I30,Fridag!$B$7:$G$38,5,TRUE))</f>
        <v/>
      </c>
      <c r="L30" s="137">
        <f t="shared" si="4"/>
        <v>43946</v>
      </c>
      <c r="M30" s="136">
        <f>IF(AND(WEEKDAY(L30)&gt;1,WEEKDAY(L30)&lt;7),IF(ISERROR(VLOOKUP(L30,Fridag!$B$7:$G$40,4,FALSE))=TRUE,normtid,IF(VLOOKUP(L30,Fridag!$B$7:$G$40,4,TRUE)=0,"ej sem",VLOOKUP(L30,Fridag!$B$7:$G$40,4,TRUE)*normtid)),"ej sem")</f>
        <v>8</v>
      </c>
      <c r="N30" s="138" t="str">
        <f>IF(ISERROR(VLOOKUP(L30,Fridag!$B$7:$G$38,5,FALSE))=TRUE,"",VLOOKUP(L30,Fridag!$B$7:$G$38,5,TRUE))</f>
        <v/>
      </c>
      <c r="O30" s="137">
        <f t="shared" si="5"/>
        <v>43976</v>
      </c>
      <c r="P30" s="136" t="str">
        <f>IF(AND(WEEKDAY(O30)&gt;1,WEEKDAY(O30)&lt;7),IF(ISERROR(VLOOKUP(O30,Fridag!$B$7:$G$40,4,FALSE))=TRUE,normtid,IF(VLOOKUP(O30,Fridag!$B$7:$G$40,4,TRUE)=0,"ej sem",VLOOKUP(O30,Fridag!$B$7:$G$40,4,TRUE)*normtid)),"ej sem")</f>
        <v>ej sem</v>
      </c>
      <c r="Q30" s="138" t="str">
        <f>IF(ISERROR(VLOOKUP(O30,Fridag!$B$7:$G$38,5,FALSE))=TRUE,"",VLOOKUP(O30,Fridag!$B$7:$G$38,5,TRUE))</f>
        <v/>
      </c>
      <c r="R30" s="137">
        <f t="shared" si="6"/>
        <v>44007</v>
      </c>
      <c r="S30" s="136">
        <f>IF(AND(WEEKDAY(R30)&gt;1,WEEKDAY(R30)&lt;7),IF(ISERROR(VLOOKUP(R30,Fridag!$B$7:$G$40,4,FALSE))=TRUE,normtid,IF(VLOOKUP(R30,Fridag!$B$7:$G$40,4,TRUE)=0,"ej sem",VLOOKUP(R30,Fridag!$B$7:$G$40,4,TRUE)*normtid)),"ej sem")</f>
        <v>8</v>
      </c>
      <c r="T30" s="138" t="str">
        <f>IF(ISERROR(VLOOKUP(R30,Fridag!$B$7:$G$38,5,FALSE))=TRUE,"",VLOOKUP(R30,Fridag!$B$7:$G$38,5,TRUE))</f>
        <v/>
      </c>
      <c r="U30" s="137">
        <f t="shared" si="0"/>
        <v>44037</v>
      </c>
      <c r="V30" s="136">
        <f>IF(AND(WEEKDAY(U30)&gt;1,WEEKDAY(U30)&lt;7),IF(ISERROR(VLOOKUP(U30,Fridag!$B$7:$G$40,4,FALSE))=TRUE,normtid,IF(VLOOKUP(U30,Fridag!$B$7:$G$40,4,TRUE)=0,"ej sem",VLOOKUP(U30,Fridag!$B$7:$G$40,4,TRUE)*normtid)),"ej sem")</f>
        <v>8</v>
      </c>
      <c r="W30" s="138" t="str">
        <f>IF(ISERROR(VLOOKUP(U30,Fridag!$B$7:$G$38,5,FALSE))=TRUE,"",VLOOKUP(U30,Fridag!$B$7:$G$38,5,TRUE))</f>
        <v/>
      </c>
      <c r="X30" s="137">
        <f t="shared" si="7"/>
        <v>44068</v>
      </c>
      <c r="Y30" s="136">
        <f>IF(AND(WEEKDAY(X30)&gt;1,WEEKDAY(X30)&lt;7),IF(ISERROR(VLOOKUP(X30,Fridag!$B$7:$G$40,4,FALSE))=TRUE,normtid,IF(VLOOKUP(X30,Fridag!$B$7:$G$40,4,TRUE)=0,"ej sem",VLOOKUP(X30,Fridag!$B$7:$G$40,4,TRUE)*normtid)),"ej sem")</f>
        <v>8</v>
      </c>
      <c r="Z30" s="138" t="str">
        <f>IF(ISERROR(VLOOKUP(X30,Fridag!$B$7:$G$38,5,FALSE))=TRUE,"",VLOOKUP(X30,Fridag!$B$7:$G$38,5,TRUE))</f>
        <v/>
      </c>
      <c r="AA30" s="137">
        <f t="shared" si="8"/>
        <v>44099</v>
      </c>
      <c r="AB30" s="136">
        <f>IF(AND(WEEKDAY(AA30)&gt;1,WEEKDAY(AA30)&lt;7),IF(ISERROR(VLOOKUP(AA30,Fridag!$B$7:$G$40,4,FALSE))=TRUE,normtid,IF(VLOOKUP(AA30,Fridag!$B$7:$G$40,4,TRUE)=0,"ej sem",VLOOKUP(AA30,Fridag!$B$7:$G$40,4,TRUE)*normtid)),"ej sem")</f>
        <v>8</v>
      </c>
      <c r="AC30" s="138" t="str">
        <f>IF(ISERROR(VLOOKUP(AA30,Fridag!$B$7:$G$38,5,FALSE))=TRUE,"",VLOOKUP(AA30,Fridag!$B$7:$G$38,5,TRUE))</f>
        <v/>
      </c>
      <c r="AD30" s="137">
        <f t="shared" si="9"/>
        <v>44129</v>
      </c>
      <c r="AE30" s="136" t="str">
        <f>IF(AND(WEEKDAY(AD30)&gt;1,WEEKDAY(AD30)&lt;7),IF(ISERROR(VLOOKUP(AD30,Fridag!$B$7:$G$40,4,FALSE))=TRUE,normtid,IF(VLOOKUP(AD30,Fridag!$B$7:$G$40,4,TRUE)=0,"ej sem",VLOOKUP(AD30,Fridag!$B$7:$G$40,4,TRUE)*normtid)),"ej sem")</f>
        <v>ej sem</v>
      </c>
      <c r="AF30" s="138" t="str">
        <f>IF(ISERROR(VLOOKUP(AD30,Fridag!$B$7:$G$38,5,FALSE))=TRUE,"",VLOOKUP(AD30,Fridag!$B$7:$G$38,5,TRUE))</f>
        <v/>
      </c>
      <c r="AG30" s="137">
        <f t="shared" si="10"/>
        <v>44160</v>
      </c>
      <c r="AH30" s="136">
        <f>IF(AND(WEEKDAY(AG30)&gt;1,WEEKDAY(AG30)&lt;7),IF(ISERROR(VLOOKUP(AG30,Fridag!$B$7:$G$40,4,FALSE))=TRUE,normtid,IF(VLOOKUP(AG30,Fridag!$B$7:$G$40,4,TRUE)=0,"ej sem",VLOOKUP(AG30,Fridag!$B$7:$G$40,4,TRUE)*normtid)),"ej sem")</f>
        <v>8</v>
      </c>
      <c r="AI30" s="138" t="str">
        <f>IF(ISERROR(VLOOKUP(AG30,Fridag!$B$7:$G$38,5,FALSE))=TRUE,"",VLOOKUP(AG30,Fridag!$B$7:$G$38,5,TRUE))</f>
        <v/>
      </c>
      <c r="AJ30" s="137">
        <f t="shared" si="11"/>
        <v>44190</v>
      </c>
      <c r="AK30" s="136" t="str">
        <f>IF(AND(WEEKDAY(AJ30)&gt;1,WEEKDAY(AJ30)&lt;7),IF(ISERROR(VLOOKUP(AJ30,Fridag!$B$7:$G$40,4,FALSE))=TRUE,normtid,IF(VLOOKUP(AJ30,Fridag!$B$7:$G$40,4,TRUE)=0,"ej sem",VLOOKUP(AJ30,Fridag!$B$7:$G$40,4,TRUE)*normtid)),"ej sem")</f>
        <v>ej sem</v>
      </c>
      <c r="AL30" s="138" t="str">
        <f>IF(ISERROR(VLOOKUP(AJ30,Fridag!$B$7:$G$38,5,FALSE))=TRUE,"",VLOOKUP(AJ30,Fridag!$B$7:$G$38,5,TRUE))</f>
        <v>Annandag jul</v>
      </c>
      <c r="AM30" s="471"/>
    </row>
    <row r="31" spans="1:39" s="472" customFormat="1" ht="12.75" customHeight="1">
      <c r="A31" s="539"/>
      <c r="B31" s="265"/>
      <c r="C31" s="135">
        <f t="shared" si="1"/>
        <v>43856</v>
      </c>
      <c r="D31" s="136" t="str">
        <f>IF(AND(WEEKDAY(C31)&gt;1,WEEKDAY(C31)&lt;7),IF(ISERROR(VLOOKUP(C31,Fridag!$B$7:$G$40,4,FALSE))=TRUE,normtid,IF(VLOOKUP(C31,Fridag!$B$7:$G$40,4,TRUE)=0,"ej sem",VLOOKUP(C31,Fridag!$B$7:$G$40,4,TRUE)*normtid)),"ej sem")</f>
        <v>ej sem</v>
      </c>
      <c r="E31" s="138" t="str">
        <f>IF(ISERROR(VLOOKUP(C31,Fridag!$B$7:$G$38,5,FALSE))=TRUE,"",VLOOKUP(C31,Fridag!$B$7:$G$38,5,TRUE))</f>
        <v/>
      </c>
      <c r="F31" s="137">
        <f t="shared" si="2"/>
        <v>43887</v>
      </c>
      <c r="G31" s="136">
        <f>IF(AND(WEEKDAY(F31)&gt;1,WEEKDAY(F31)&lt;7),IF(ISERROR(VLOOKUP(F31,Fridag!$B$7:$G$40,4,FALSE))=TRUE,normtid,IF(VLOOKUP(F31,Fridag!$B$7:$G$40,4,TRUE)=0,"ej sem",VLOOKUP(F31,Fridag!$B$7:$G$40,4,TRUE)*normtid)),"ej sem")</f>
        <v>8</v>
      </c>
      <c r="H31" s="138" t="str">
        <f>IF(ISERROR(VLOOKUP(F31,Fridag!$B$7:$G$38,5,FALSE))=TRUE,"",VLOOKUP(F31,Fridag!$B$7:$G$38,5,TRUE))</f>
        <v/>
      </c>
      <c r="I31" s="137">
        <f t="shared" si="3"/>
        <v>43916</v>
      </c>
      <c r="J31" s="136">
        <f>IF(AND(WEEKDAY(I31)&gt;1,WEEKDAY(I31)&lt;7),IF(ISERROR(VLOOKUP(I31,Fridag!$B$7:$G$40,4,FALSE))=TRUE,normtid,IF(VLOOKUP(I31,Fridag!$B$7:$G$40,4,TRUE)=0,"ej sem",VLOOKUP(I31,Fridag!$B$7:$G$40,4,TRUE)*normtid)),"ej sem")</f>
        <v>8</v>
      </c>
      <c r="K31" s="138" t="str">
        <f>IF(ISERROR(VLOOKUP(I31,Fridag!$B$7:$G$38,5,FALSE))=TRUE,"",VLOOKUP(I31,Fridag!$B$7:$G$38,5,TRUE))</f>
        <v/>
      </c>
      <c r="L31" s="137">
        <f t="shared" si="4"/>
        <v>43947</v>
      </c>
      <c r="M31" s="136" t="str">
        <f>IF(AND(WEEKDAY(L31)&gt;1,WEEKDAY(L31)&lt;7),IF(ISERROR(VLOOKUP(L31,Fridag!$B$7:$G$40,4,FALSE))=TRUE,normtid,IF(VLOOKUP(L31,Fridag!$B$7:$G$40,4,TRUE)=0,"ej sem",VLOOKUP(L31,Fridag!$B$7:$G$40,4,TRUE)*normtid)),"ej sem")</f>
        <v>ej sem</v>
      </c>
      <c r="N31" s="138" t="str">
        <f>IF(ISERROR(VLOOKUP(L31,Fridag!$B$7:$G$38,5,FALSE))=TRUE,"",VLOOKUP(L31,Fridag!$B$7:$G$38,5,TRUE))</f>
        <v/>
      </c>
      <c r="O31" s="137">
        <f t="shared" si="5"/>
        <v>43977</v>
      </c>
      <c r="P31" s="136">
        <f>IF(AND(WEEKDAY(O31)&gt;1,WEEKDAY(O31)&lt;7),IF(ISERROR(VLOOKUP(O31,Fridag!$B$7:$G$40,4,FALSE))=TRUE,normtid,IF(VLOOKUP(O31,Fridag!$B$7:$G$40,4,TRUE)=0,"ej sem",VLOOKUP(O31,Fridag!$B$7:$G$40,4,TRUE)*normtid)),"ej sem")</f>
        <v>8</v>
      </c>
      <c r="Q31" s="138" t="str">
        <f>IF(ISERROR(VLOOKUP(O31,Fridag!$B$7:$G$38,5,FALSE))=TRUE,"",VLOOKUP(O31,Fridag!$B$7:$G$38,5,TRUE))</f>
        <v/>
      </c>
      <c r="R31" s="137">
        <f t="shared" si="6"/>
        <v>44008</v>
      </c>
      <c r="S31" s="136">
        <f>IF(AND(WEEKDAY(R31)&gt;1,WEEKDAY(R31)&lt;7),IF(ISERROR(VLOOKUP(R31,Fridag!$B$7:$G$40,4,FALSE))=TRUE,normtid,IF(VLOOKUP(R31,Fridag!$B$7:$G$40,4,TRUE)=0,"ej sem",VLOOKUP(R31,Fridag!$B$7:$G$40,4,TRUE)*normtid)),"ej sem")</f>
        <v>8</v>
      </c>
      <c r="T31" s="138" t="str">
        <f>IF(ISERROR(VLOOKUP(R31,Fridag!$B$7:$G$38,5,FALSE))=TRUE,"",VLOOKUP(R31,Fridag!$B$7:$G$38,5,TRUE))</f>
        <v/>
      </c>
      <c r="U31" s="137">
        <f t="shared" si="0"/>
        <v>44038</v>
      </c>
      <c r="V31" s="136" t="str">
        <f>IF(AND(WEEKDAY(U31)&gt;1,WEEKDAY(U31)&lt;7),IF(ISERROR(VLOOKUP(U31,Fridag!$B$7:$G$40,4,FALSE))=TRUE,normtid,IF(VLOOKUP(U31,Fridag!$B$7:$G$40,4,TRUE)=0,"ej sem",VLOOKUP(U31,Fridag!$B$7:$G$40,4,TRUE)*normtid)),"ej sem")</f>
        <v>ej sem</v>
      </c>
      <c r="W31" s="138" t="str">
        <f>IF(ISERROR(VLOOKUP(U31,Fridag!$B$7:$G$38,5,FALSE))=TRUE,"",VLOOKUP(U31,Fridag!$B$7:$G$38,5,TRUE))</f>
        <v/>
      </c>
      <c r="X31" s="137">
        <f t="shared" si="7"/>
        <v>44069</v>
      </c>
      <c r="Y31" s="136">
        <f>IF(AND(WEEKDAY(X31)&gt;1,WEEKDAY(X31)&lt;7),IF(ISERROR(VLOOKUP(X31,Fridag!$B$7:$G$40,4,FALSE))=TRUE,normtid,IF(VLOOKUP(X31,Fridag!$B$7:$G$40,4,TRUE)=0,"ej sem",VLOOKUP(X31,Fridag!$B$7:$G$40,4,TRUE)*normtid)),"ej sem")</f>
        <v>8</v>
      </c>
      <c r="Z31" s="138" t="str">
        <f>IF(ISERROR(VLOOKUP(X31,Fridag!$B$7:$G$38,5,FALSE))=TRUE,"",VLOOKUP(X31,Fridag!$B$7:$G$38,5,TRUE))</f>
        <v/>
      </c>
      <c r="AA31" s="137">
        <f t="shared" si="8"/>
        <v>44100</v>
      </c>
      <c r="AB31" s="136">
        <f>IF(AND(WEEKDAY(AA31)&gt;1,WEEKDAY(AA31)&lt;7),IF(ISERROR(VLOOKUP(AA31,Fridag!$B$7:$G$40,4,FALSE))=TRUE,normtid,IF(VLOOKUP(AA31,Fridag!$B$7:$G$40,4,TRUE)=0,"ej sem",VLOOKUP(AA31,Fridag!$B$7:$G$40,4,TRUE)*normtid)),"ej sem")</f>
        <v>8</v>
      </c>
      <c r="AC31" s="138" t="str">
        <f>IF(ISERROR(VLOOKUP(AA31,Fridag!$B$7:$G$38,5,FALSE))=TRUE,"",VLOOKUP(AA31,Fridag!$B$7:$G$38,5,TRUE))</f>
        <v/>
      </c>
      <c r="AD31" s="137">
        <f t="shared" si="9"/>
        <v>44130</v>
      </c>
      <c r="AE31" s="136" t="str">
        <f>IF(AND(WEEKDAY(AD31)&gt;1,WEEKDAY(AD31)&lt;7),IF(ISERROR(VLOOKUP(AD31,Fridag!$B$7:$G$40,4,FALSE))=TRUE,normtid,IF(VLOOKUP(AD31,Fridag!$B$7:$G$40,4,TRUE)=0,"ej sem",VLOOKUP(AD31,Fridag!$B$7:$G$40,4,TRUE)*normtid)),"ej sem")</f>
        <v>ej sem</v>
      </c>
      <c r="AF31" s="138" t="str">
        <f>IF(ISERROR(VLOOKUP(AD31,Fridag!$B$7:$G$38,5,FALSE))=TRUE,"",VLOOKUP(AD31,Fridag!$B$7:$G$38,5,TRUE))</f>
        <v/>
      </c>
      <c r="AG31" s="137">
        <f t="shared" si="10"/>
        <v>44161</v>
      </c>
      <c r="AH31" s="136">
        <f>IF(AND(WEEKDAY(AG31)&gt;1,WEEKDAY(AG31)&lt;7),IF(ISERROR(VLOOKUP(AG31,Fridag!$B$7:$G$40,4,FALSE))=TRUE,normtid,IF(VLOOKUP(AG31,Fridag!$B$7:$G$40,4,TRUE)=0,"ej sem",VLOOKUP(AG31,Fridag!$B$7:$G$40,4,TRUE)*normtid)),"ej sem")</f>
        <v>8</v>
      </c>
      <c r="AI31" s="138" t="str">
        <f>IF(ISERROR(VLOOKUP(AG31,Fridag!$B$7:$G$38,5,FALSE))=TRUE,"",VLOOKUP(AG31,Fridag!$B$7:$G$38,5,TRUE))</f>
        <v/>
      </c>
      <c r="AJ31" s="137">
        <f t="shared" si="11"/>
        <v>44191</v>
      </c>
      <c r="AK31" s="136" t="str">
        <f>IF(AND(WEEKDAY(AJ31)&gt;1,WEEKDAY(AJ31)&lt;7),IF(ISERROR(VLOOKUP(AJ31,Fridag!$B$7:$G$40,4,FALSE))=TRUE,normtid,IF(VLOOKUP(AJ31,Fridag!$B$7:$G$40,4,TRUE)=0,"ej sem",VLOOKUP(AJ31,Fridag!$B$7:$G$40,4,TRUE)*normtid)),"ej sem")</f>
        <v>ej sem</v>
      </c>
      <c r="AL31" s="138" t="str">
        <f>IF(ISERROR(VLOOKUP(AJ31,Fridag!$B$7:$G$38,5,FALSE))=TRUE,"",VLOOKUP(AJ31,Fridag!$B$7:$G$38,5,TRUE))</f>
        <v>Klämdag</v>
      </c>
      <c r="AM31" s="471"/>
    </row>
    <row r="32" spans="1:39" s="472" customFormat="1" ht="12.75" customHeight="1">
      <c r="A32" s="539"/>
      <c r="B32" s="265"/>
      <c r="C32" s="135">
        <f t="shared" si="1"/>
        <v>43857</v>
      </c>
      <c r="D32" s="136" t="str">
        <f>IF(AND(WEEKDAY(C32)&gt;1,WEEKDAY(C32)&lt;7),IF(ISERROR(VLOOKUP(C32,Fridag!$B$7:$G$40,4,FALSE))=TRUE,normtid,IF(VLOOKUP(C32,Fridag!$B$7:$G$40,4,TRUE)=0,"ej sem",VLOOKUP(C32,Fridag!$B$7:$G$40,4,TRUE)*normtid)),"ej sem")</f>
        <v>ej sem</v>
      </c>
      <c r="E32" s="138" t="str">
        <f>IF(ISERROR(VLOOKUP(C32,Fridag!$B$7:$G$38,5,FALSE))=TRUE,"",VLOOKUP(C32,Fridag!$B$7:$G$38,5,TRUE))</f>
        <v/>
      </c>
      <c r="F32" s="137">
        <f t="shared" si="2"/>
        <v>43888</v>
      </c>
      <c r="G32" s="136">
        <f>IF(AND(WEEKDAY(F32)&gt;1,WEEKDAY(F32)&lt;7),IF(ISERROR(VLOOKUP(F32,Fridag!$B$7:$G$40,4,FALSE))=TRUE,normtid,IF(VLOOKUP(F32,Fridag!$B$7:$G$40,4,TRUE)=0,"ej sem",VLOOKUP(F32,Fridag!$B$7:$G$40,4,TRUE)*normtid)),"ej sem")</f>
        <v>8</v>
      </c>
      <c r="H32" s="138" t="str">
        <f>IF(ISERROR(VLOOKUP(F32,Fridag!$B$7:$G$38,5,FALSE))=TRUE,"",VLOOKUP(F32,Fridag!$B$7:$G$38,5,TRUE))</f>
        <v/>
      </c>
      <c r="I32" s="137">
        <f t="shared" si="3"/>
        <v>43917</v>
      </c>
      <c r="J32" s="136">
        <f>IF(AND(WEEKDAY(I32)&gt;1,WEEKDAY(I32)&lt;7),IF(ISERROR(VLOOKUP(I32,Fridag!$B$7:$G$40,4,FALSE))=TRUE,normtid,IF(VLOOKUP(I32,Fridag!$B$7:$G$40,4,TRUE)=0,"ej sem",VLOOKUP(I32,Fridag!$B$7:$G$40,4,TRUE)*normtid)),"ej sem")</f>
        <v>6</v>
      </c>
      <c r="K32" s="138" t="str">
        <f>IF(ISERROR(VLOOKUP(I32,Fridag!$B$7:$G$38,5,FALSE))=TRUE,"",VLOOKUP(I32,Fridag!$B$7:$G$38,5,TRUE))</f>
        <v>Skärtorsdagen</v>
      </c>
      <c r="L32" s="137">
        <f t="shared" si="4"/>
        <v>43948</v>
      </c>
      <c r="M32" s="136" t="str">
        <f>IF(AND(WEEKDAY(L32)&gt;1,WEEKDAY(L32)&lt;7),IF(ISERROR(VLOOKUP(L32,Fridag!$B$7:$G$40,4,FALSE))=TRUE,normtid,IF(VLOOKUP(L32,Fridag!$B$7:$G$40,4,TRUE)=0,"ej sem",VLOOKUP(L32,Fridag!$B$7:$G$40,4,TRUE)*normtid)),"ej sem")</f>
        <v>ej sem</v>
      </c>
      <c r="N32" s="138" t="str">
        <f>IF(ISERROR(VLOOKUP(L32,Fridag!$B$7:$G$38,5,FALSE))=TRUE,"",VLOOKUP(L32,Fridag!$B$7:$G$38,5,TRUE))</f>
        <v/>
      </c>
      <c r="O32" s="137">
        <f t="shared" si="5"/>
        <v>43978</v>
      </c>
      <c r="P32" s="136">
        <f>IF(AND(WEEKDAY(O32)&gt;1,WEEKDAY(O32)&lt;7),IF(ISERROR(VLOOKUP(O32,Fridag!$B$7:$G$40,4,FALSE))=TRUE,normtid,IF(VLOOKUP(O32,Fridag!$B$7:$G$40,4,TRUE)=0,"ej sem",VLOOKUP(O32,Fridag!$B$7:$G$40,4,TRUE)*normtid)),"ej sem")</f>
        <v>8</v>
      </c>
      <c r="Q32" s="138" t="str">
        <f>IF(ISERROR(VLOOKUP(O32,Fridag!$B$7:$G$38,5,FALSE))=TRUE,"",VLOOKUP(O32,Fridag!$B$7:$G$38,5,TRUE))</f>
        <v/>
      </c>
      <c r="R32" s="137">
        <f t="shared" si="6"/>
        <v>44009</v>
      </c>
      <c r="S32" s="136">
        <f>IF(AND(WEEKDAY(R32)&gt;1,WEEKDAY(R32)&lt;7),IF(ISERROR(VLOOKUP(R32,Fridag!$B$7:$G$40,4,FALSE))=TRUE,normtid,IF(VLOOKUP(R32,Fridag!$B$7:$G$40,4,TRUE)=0,"ej sem",VLOOKUP(R32,Fridag!$B$7:$G$40,4,TRUE)*normtid)),"ej sem")</f>
        <v>8</v>
      </c>
      <c r="T32" s="138" t="str">
        <f>IF(ISERROR(VLOOKUP(R32,Fridag!$B$7:$G$38,5,FALSE))=TRUE,"",VLOOKUP(R32,Fridag!$B$7:$G$38,5,TRUE))</f>
        <v/>
      </c>
      <c r="U32" s="137">
        <f t="shared" si="0"/>
        <v>44039</v>
      </c>
      <c r="V32" s="136" t="str">
        <f>IF(AND(WEEKDAY(U32)&gt;1,WEEKDAY(U32)&lt;7),IF(ISERROR(VLOOKUP(U32,Fridag!$B$7:$G$40,4,FALSE))=TRUE,normtid,IF(VLOOKUP(U32,Fridag!$B$7:$G$40,4,TRUE)=0,"ej sem",VLOOKUP(U32,Fridag!$B$7:$G$40,4,TRUE)*normtid)),"ej sem")</f>
        <v>ej sem</v>
      </c>
      <c r="W32" s="138" t="str">
        <f>IF(ISERROR(VLOOKUP(U32,Fridag!$B$7:$G$38,5,FALSE))=TRUE,"",VLOOKUP(U32,Fridag!$B$7:$G$38,5,TRUE))</f>
        <v/>
      </c>
      <c r="X32" s="137">
        <f t="shared" si="7"/>
        <v>44070</v>
      </c>
      <c r="Y32" s="136">
        <f>IF(AND(WEEKDAY(X32)&gt;1,WEEKDAY(X32)&lt;7),IF(ISERROR(VLOOKUP(X32,Fridag!$B$7:$G$40,4,FALSE))=TRUE,normtid,IF(VLOOKUP(X32,Fridag!$B$7:$G$40,4,TRUE)=0,"ej sem",VLOOKUP(X32,Fridag!$B$7:$G$40,4,TRUE)*normtid)),"ej sem")</f>
        <v>8</v>
      </c>
      <c r="Z32" s="138" t="str">
        <f>IF(ISERROR(VLOOKUP(X32,Fridag!$B$7:$G$38,5,FALSE))=TRUE,"",VLOOKUP(X32,Fridag!$B$7:$G$38,5,TRUE))</f>
        <v/>
      </c>
      <c r="AA32" s="137">
        <f t="shared" si="8"/>
        <v>44101</v>
      </c>
      <c r="AB32" s="136" t="str">
        <f>IF(AND(WEEKDAY(AA32)&gt;1,WEEKDAY(AA32)&lt;7),IF(ISERROR(VLOOKUP(AA32,Fridag!$B$7:$G$40,4,FALSE))=TRUE,normtid,IF(VLOOKUP(AA32,Fridag!$B$7:$G$40,4,TRUE)=0,"ej sem",VLOOKUP(AA32,Fridag!$B$7:$G$40,4,TRUE)*normtid)),"ej sem")</f>
        <v>ej sem</v>
      </c>
      <c r="AC32" s="138" t="str">
        <f>IF(ISERROR(VLOOKUP(AA32,Fridag!$B$7:$G$38,5,FALSE))=TRUE,"",VLOOKUP(AA32,Fridag!$B$7:$G$38,5,TRUE))</f>
        <v/>
      </c>
      <c r="AD32" s="137">
        <f t="shared" si="9"/>
        <v>44131</v>
      </c>
      <c r="AE32" s="136">
        <f>IF(AND(WEEKDAY(AD32)&gt;1,WEEKDAY(AD32)&lt;7),IF(ISERROR(VLOOKUP(AD32,Fridag!$B$7:$G$40,4,FALSE))=TRUE,normtid,IF(VLOOKUP(AD32,Fridag!$B$7:$G$40,4,TRUE)=0,"ej sem",VLOOKUP(AD32,Fridag!$B$7:$G$40,4,TRUE)*normtid)),"ej sem")</f>
        <v>8</v>
      </c>
      <c r="AF32" s="138" t="str">
        <f>IF(ISERROR(VLOOKUP(AD32,Fridag!$B$7:$G$38,5,FALSE))=TRUE,"",VLOOKUP(AD32,Fridag!$B$7:$G$38,5,TRUE))</f>
        <v/>
      </c>
      <c r="AG32" s="137">
        <f t="shared" si="10"/>
        <v>44162</v>
      </c>
      <c r="AH32" s="136">
        <f>IF(AND(WEEKDAY(AG32)&gt;1,WEEKDAY(AG32)&lt;7),IF(ISERROR(VLOOKUP(AG32,Fridag!$B$7:$G$40,4,FALSE))=TRUE,normtid,IF(VLOOKUP(AG32,Fridag!$B$7:$G$40,4,TRUE)=0,"ej sem",VLOOKUP(AG32,Fridag!$B$7:$G$40,4,TRUE)*normtid)),"ej sem")</f>
        <v>8</v>
      </c>
      <c r="AI32" s="138" t="str">
        <f>IF(ISERROR(VLOOKUP(AG32,Fridag!$B$7:$G$38,5,FALSE))=TRUE,"",VLOOKUP(AG32,Fridag!$B$7:$G$38,5,TRUE))</f>
        <v/>
      </c>
      <c r="AJ32" s="137">
        <f t="shared" si="11"/>
        <v>44192</v>
      </c>
      <c r="AK32" s="136" t="str">
        <f>IF(AND(WEEKDAY(AJ32)&gt;1,WEEKDAY(AJ32)&lt;7),IF(ISERROR(VLOOKUP(AJ32,Fridag!$B$7:$G$40,4,FALSE))=TRUE,normtid,IF(VLOOKUP(AJ32,Fridag!$B$7:$G$40,4,TRUE)=0,"ej sem",VLOOKUP(AJ32,Fridag!$B$7:$G$40,4,TRUE)*normtid)),"ej sem")</f>
        <v>ej sem</v>
      </c>
      <c r="AL32" s="138" t="str">
        <f>IF(ISERROR(VLOOKUP(AJ32,Fridag!$B$7:$G$38,5,FALSE))=TRUE,"",VLOOKUP(AJ32,Fridag!$B$7:$G$38,5,TRUE))</f>
        <v/>
      </c>
      <c r="AM32" s="471"/>
    </row>
    <row r="33" spans="1:39" s="472" customFormat="1">
      <c r="A33" s="539"/>
      <c r="B33" s="265"/>
      <c r="C33" s="135">
        <f t="shared" si="1"/>
        <v>43858</v>
      </c>
      <c r="D33" s="136">
        <f>IF(AND(WEEKDAY(C33)&gt;1,WEEKDAY(C33)&lt;7),IF(ISERROR(VLOOKUP(C33,Fridag!$B$7:$G$40,4,FALSE))=TRUE,normtid,IF(VLOOKUP(C33,Fridag!$B$7:$G$40,4,TRUE)=0,"ej sem",VLOOKUP(C33,Fridag!$B$7:$G$40,4,TRUE)*normtid)),"ej sem")</f>
        <v>8</v>
      </c>
      <c r="E33" s="138" t="str">
        <f>IF(ISERROR(VLOOKUP(C33,Fridag!$B$7:$G$38,5,FALSE))=TRUE,"",VLOOKUP(C33,Fridag!$B$7:$G$38,5,TRUE))</f>
        <v/>
      </c>
      <c r="F33" s="137">
        <f>IF(MOD(årtal,4)=0,F32+1,"")</f>
        <v>43889</v>
      </c>
      <c r="G33" s="136">
        <f>IF(MOD(årtal,4)=0,IF(AND(WEEKDAY(F33)&gt;1,WEEKDAY(F33)&lt;7),IF(ISERROR(VLOOKUP(F33,Fridag!$B$7:$G$40,4,FALSE))=TRUE,normtid,IF(VLOOKUP(F33,Fridag!$B$7:$G$40,4,TRUE)=0,"ej sem",VLOOKUP(F33,Fridag!$B$7:$G$40,4,TRUE)*normtid)),"ej sem"),0)</f>
        <v>8</v>
      </c>
      <c r="H33" s="138"/>
      <c r="I33" s="137">
        <f t="shared" si="3"/>
        <v>43918</v>
      </c>
      <c r="J33" s="136" t="str">
        <f>IF(AND(WEEKDAY(I33)&gt;1,WEEKDAY(I33)&lt;7),IF(ISERROR(VLOOKUP(I33,Fridag!$B$7:$G$40,4,FALSE))=TRUE,normtid,IF(VLOOKUP(I33,Fridag!$B$7:$G$40,4,TRUE)=0,"ej sem",VLOOKUP(I33,Fridag!$B$7:$G$40,4,TRUE)*normtid)),"ej sem")</f>
        <v>ej sem</v>
      </c>
      <c r="K33" s="138" t="str">
        <f>IF(ISERROR(VLOOKUP(I33,Fridag!$B$7:$G$38,5,FALSE))=TRUE,"",VLOOKUP(I33,Fridag!$B$7:$G$38,5,TRUE))</f>
        <v>Långfredagen</v>
      </c>
      <c r="L33" s="137">
        <f t="shared" si="4"/>
        <v>43949</v>
      </c>
      <c r="M33" s="136">
        <f>IF(AND(WEEKDAY(L33)&gt;1,WEEKDAY(L33)&lt;7),IF(ISERROR(VLOOKUP(L33,Fridag!$B$7:$G$40,4,FALSE))=TRUE,normtid,IF(VLOOKUP(L33,Fridag!$B$7:$G$40,4,TRUE)=0,"ej sem",VLOOKUP(L33,Fridag!$B$7:$G$40,4,TRUE)*normtid)),"ej sem")</f>
        <v>8</v>
      </c>
      <c r="N33" s="138" t="str">
        <f>IF(ISERROR(VLOOKUP(L33,Fridag!$B$7:$G$38,5,FALSE))=TRUE,"",VLOOKUP(L33,Fridag!$B$7:$G$38,5,TRUE))</f>
        <v/>
      </c>
      <c r="O33" s="137">
        <f t="shared" si="5"/>
        <v>43979</v>
      </c>
      <c r="P33" s="136">
        <f>IF(AND(WEEKDAY(O33)&gt;1,WEEKDAY(O33)&lt;7),IF(ISERROR(VLOOKUP(O33,Fridag!$B$7:$G$40,4,FALSE))=TRUE,normtid,IF(VLOOKUP(O33,Fridag!$B$7:$G$40,4,TRUE)=0,"ej sem",VLOOKUP(O33,Fridag!$B$7:$G$40,4,TRUE)*normtid)),"ej sem")</f>
        <v>8</v>
      </c>
      <c r="Q33" s="138" t="str">
        <f>IF(ISERROR(VLOOKUP(O33,Fridag!$B$7:$G$38,5,FALSE))=TRUE,"",VLOOKUP(O33,Fridag!$B$7:$G$38,5,TRUE))</f>
        <v/>
      </c>
      <c r="R33" s="137">
        <f t="shared" si="6"/>
        <v>44010</v>
      </c>
      <c r="S33" s="136" t="str">
        <f>IF(AND(WEEKDAY(R33)&gt;1,WEEKDAY(R33)&lt;7),IF(ISERROR(VLOOKUP(R33,Fridag!$B$7:$G$40,4,FALSE))=TRUE,normtid,IF(VLOOKUP(R33,Fridag!$B$7:$G$40,4,TRUE)=0,"ej sem",VLOOKUP(R33,Fridag!$B$7:$G$40,4,TRUE)*normtid)),"ej sem")</f>
        <v>ej sem</v>
      </c>
      <c r="T33" s="138" t="str">
        <f>IF(ISERROR(VLOOKUP(R33,Fridag!$B$7:$G$38,5,FALSE))=TRUE,"",VLOOKUP(R33,Fridag!$B$7:$G$38,5,TRUE))</f>
        <v/>
      </c>
      <c r="U33" s="137">
        <f t="shared" si="0"/>
        <v>44040</v>
      </c>
      <c r="V33" s="136">
        <f>IF(AND(WEEKDAY(U33)&gt;1,WEEKDAY(U33)&lt;7),IF(ISERROR(VLOOKUP(U33,Fridag!$B$7:$G$40,4,FALSE))=TRUE,normtid,IF(VLOOKUP(U33,Fridag!$B$7:$G$40,4,TRUE)=0,"ej sem",VLOOKUP(U33,Fridag!$B$7:$G$40,4,TRUE)*normtid)),"ej sem")</f>
        <v>8</v>
      </c>
      <c r="W33" s="138" t="str">
        <f>IF(ISERROR(VLOOKUP(U33,Fridag!$B$7:$G$38,5,FALSE))=TRUE,"",VLOOKUP(U33,Fridag!$B$7:$G$38,5,TRUE))</f>
        <v/>
      </c>
      <c r="X33" s="137">
        <f t="shared" si="7"/>
        <v>44071</v>
      </c>
      <c r="Y33" s="136">
        <f>IF(AND(WEEKDAY(X33)&gt;1,WEEKDAY(X33)&lt;7),IF(ISERROR(VLOOKUP(X33,Fridag!$B$7:$G$40,4,FALSE))=TRUE,normtid,IF(VLOOKUP(X33,Fridag!$B$7:$G$40,4,TRUE)=0,"ej sem",VLOOKUP(X33,Fridag!$B$7:$G$40,4,TRUE)*normtid)),"ej sem")</f>
        <v>8</v>
      </c>
      <c r="Z33" s="138" t="str">
        <f>IF(ISERROR(VLOOKUP(X33,Fridag!$B$7:$G$38,5,FALSE))=TRUE,"",VLOOKUP(X33,Fridag!$B$7:$G$38,5,TRUE))</f>
        <v/>
      </c>
      <c r="AA33" s="137">
        <f t="shared" si="8"/>
        <v>44102</v>
      </c>
      <c r="AB33" s="136" t="str">
        <f>IF(AND(WEEKDAY(AA33)&gt;1,WEEKDAY(AA33)&lt;7),IF(ISERROR(VLOOKUP(AA33,Fridag!$B$7:$G$40,4,FALSE))=TRUE,normtid,IF(VLOOKUP(AA33,Fridag!$B$7:$G$40,4,TRUE)=0,"ej sem",VLOOKUP(AA33,Fridag!$B$7:$G$40,4,TRUE)*normtid)),"ej sem")</f>
        <v>ej sem</v>
      </c>
      <c r="AC33" s="138" t="str">
        <f>IF(ISERROR(VLOOKUP(AA33,Fridag!$B$7:$G$38,5,FALSE))=TRUE,"",VLOOKUP(AA33,Fridag!$B$7:$G$38,5,TRUE))</f>
        <v/>
      </c>
      <c r="AD33" s="137">
        <f t="shared" si="9"/>
        <v>44132</v>
      </c>
      <c r="AE33" s="136">
        <f>IF(AND(WEEKDAY(AD33)&gt;1,WEEKDAY(AD33)&lt;7),IF(ISERROR(VLOOKUP(AD33,Fridag!$B$7:$G$40,4,FALSE))=TRUE,normtid,IF(VLOOKUP(AD33,Fridag!$B$7:$G$40,4,TRUE)=0,"ej sem",VLOOKUP(AD33,Fridag!$B$7:$G$40,4,TRUE)*normtid)),"ej sem")</f>
        <v>8</v>
      </c>
      <c r="AF33" s="138" t="str">
        <f>IF(ISERROR(VLOOKUP(AD33,Fridag!$B$7:$G$38,5,FALSE))=TRUE,"",VLOOKUP(AD33,Fridag!$B$7:$G$38,5,TRUE))</f>
        <v/>
      </c>
      <c r="AG33" s="137">
        <f t="shared" si="10"/>
        <v>44163</v>
      </c>
      <c r="AH33" s="136">
        <f>IF(AND(WEEKDAY(AG33)&gt;1,WEEKDAY(AG33)&lt;7),IF(ISERROR(VLOOKUP(AG33,Fridag!$B$7:$G$40,4,FALSE))=TRUE,normtid,IF(VLOOKUP(AG33,Fridag!$B$7:$G$40,4,TRUE)=0,"ej sem",VLOOKUP(AG33,Fridag!$B$7:$G$40,4,TRUE)*normtid)),"ej sem")</f>
        <v>8</v>
      </c>
      <c r="AI33" s="138" t="str">
        <f>IF(ISERROR(VLOOKUP(AG33,Fridag!$B$7:$G$38,5,FALSE))=TRUE,"",VLOOKUP(AG33,Fridag!$B$7:$G$38,5,TRUE))</f>
        <v/>
      </c>
      <c r="AJ33" s="137">
        <f t="shared" si="11"/>
        <v>44193</v>
      </c>
      <c r="AK33" s="136" t="str">
        <f>IF(AND(WEEKDAY(AJ33)&gt;1,WEEKDAY(AJ33)&lt;7),IF(ISERROR(VLOOKUP(AJ33,Fridag!$B$7:$G$40,4,FALSE))=TRUE,normtid,IF(VLOOKUP(AJ33,Fridag!$B$7:$G$40,4,TRUE)=0,"ej sem",VLOOKUP(AJ33,Fridag!$B$7:$G$40,4,TRUE)*normtid)),"ej sem")</f>
        <v>ej sem</v>
      </c>
      <c r="AL33" s="138" t="str">
        <f>IF(ISERROR(VLOOKUP(AJ33,Fridag!$B$7:$G$38,5,FALSE))=TRUE,"",VLOOKUP(AJ33,Fridag!$B$7:$G$38,5,TRUE))</f>
        <v/>
      </c>
      <c r="AM33" s="471"/>
    </row>
    <row r="34" spans="1:39" s="472" customFormat="1">
      <c r="A34" s="539"/>
      <c r="B34" s="265"/>
      <c r="C34" s="135">
        <f t="shared" si="1"/>
        <v>43859</v>
      </c>
      <c r="D34" s="136">
        <f>IF(AND(WEEKDAY(C34)&gt;1,WEEKDAY(C34)&lt;7),IF(ISERROR(VLOOKUP(C34,Fridag!$B$7:$G$40,4,FALSE))=TRUE,normtid,IF(VLOOKUP(C34,Fridag!$B$7:$G$40,4,TRUE)=0,"ej sem",VLOOKUP(C34,Fridag!$B$7:$G$40,4,TRUE)*normtid)),"ej sem")</f>
        <v>8</v>
      </c>
      <c r="E34" s="138" t="str">
        <f>IF(ISERROR(VLOOKUP(C34,Fridag!$B$7:$G$38,5,FALSE))=TRUE,"",VLOOKUP(C34,Fridag!$B$7:$G$38,5,TRUE))</f>
        <v/>
      </c>
      <c r="F34" s="17"/>
      <c r="G34" s="136" t="s">
        <v>36</v>
      </c>
      <c r="H34" s="138"/>
      <c r="I34" s="137">
        <f t="shared" si="3"/>
        <v>43919</v>
      </c>
      <c r="J34" s="136" t="str">
        <f>IF(AND(WEEKDAY(I34)&gt;1,WEEKDAY(I34)&lt;7),IF(ISERROR(VLOOKUP(I34,Fridag!$B$7:$G$40,4,FALSE))=TRUE,normtid,IF(VLOOKUP(I34,Fridag!$B$7:$G$40,4,TRUE)=0,"ej sem",VLOOKUP(I34,Fridag!$B$7:$G$40,4,TRUE)*normtid)),"ej sem")</f>
        <v>ej sem</v>
      </c>
      <c r="K34" s="138" t="str">
        <f>IF(ISERROR(VLOOKUP(I34,Fridag!$B$7:$G$38,5,FALSE))=TRUE,"",VLOOKUP(I34,Fridag!$B$7:$G$38,5,TRUE))</f>
        <v>Påskafton</v>
      </c>
      <c r="L34" s="137">
        <f t="shared" si="4"/>
        <v>43950</v>
      </c>
      <c r="M34" s="136">
        <f>IF(AND(WEEKDAY(L34)&gt;1,WEEKDAY(L34)&lt;7),IF(ISERROR(VLOOKUP(L34,Fridag!$B$7:$G$40,4,FALSE))=TRUE,normtid,IF(VLOOKUP(L34,Fridag!$B$7:$G$40,4,TRUE)=0,"ej sem",VLOOKUP(L34,Fridag!$B$7:$G$40,4,TRUE)*normtid)),"ej sem")</f>
        <v>6</v>
      </c>
      <c r="N34" s="138" t="str">
        <f>IF(ISERROR(VLOOKUP(L34,Fridag!$B$7:$G$38,5,FALSE))=TRUE,"",VLOOKUP(L34,Fridag!$B$7:$G$38,5,TRUE))</f>
        <v>Valborgsmässoafton</v>
      </c>
      <c r="O34" s="137">
        <f t="shared" si="5"/>
        <v>43980</v>
      </c>
      <c r="P34" s="136">
        <f>IF(AND(WEEKDAY(O34)&gt;1,WEEKDAY(O34)&lt;7),IF(ISERROR(VLOOKUP(O34,Fridag!$B$7:$G$40,4,FALSE))=TRUE,normtid,IF(VLOOKUP(O34,Fridag!$B$7:$G$40,4,TRUE)=0,"ej sem",VLOOKUP(O34,Fridag!$B$7:$G$40,4,TRUE)*normtid)),"ej sem")</f>
        <v>8</v>
      </c>
      <c r="Q34" s="138" t="str">
        <f>IF(ISERROR(VLOOKUP(O34,Fridag!$B$7:$G$38,5,FALSE))=TRUE,"",VLOOKUP(O34,Fridag!$B$7:$G$38,5,TRUE))</f>
        <v/>
      </c>
      <c r="R34" s="137">
        <f t="shared" si="6"/>
        <v>44011</v>
      </c>
      <c r="S34" s="136" t="str">
        <f>IF(AND(WEEKDAY(R34)&gt;1,WEEKDAY(R34)&lt;7),IF(ISERROR(VLOOKUP(R34,Fridag!$B$7:$G$40,4,FALSE))=TRUE,normtid,IF(VLOOKUP(R34,Fridag!$B$7:$G$40,4,TRUE)=0,"ej sem",VLOOKUP(R34,Fridag!$B$7:$G$40,4,TRUE)*normtid)),"ej sem")</f>
        <v>ej sem</v>
      </c>
      <c r="T34" s="138" t="str">
        <f>IF(ISERROR(VLOOKUP(R34,Fridag!$B$7:$G$38,5,FALSE))=TRUE,"",VLOOKUP(R34,Fridag!$B$7:$G$38,5,TRUE))</f>
        <v/>
      </c>
      <c r="U34" s="137">
        <f t="shared" si="0"/>
        <v>44041</v>
      </c>
      <c r="V34" s="136">
        <f>IF(AND(WEEKDAY(U34)&gt;1,WEEKDAY(U34)&lt;7),IF(ISERROR(VLOOKUP(U34,Fridag!$B$7:$G$40,4,FALSE))=TRUE,normtid,IF(VLOOKUP(U34,Fridag!$B$7:$G$40,4,TRUE)=0,"ej sem",VLOOKUP(U34,Fridag!$B$7:$G$40,4,TRUE)*normtid)),"ej sem")</f>
        <v>8</v>
      </c>
      <c r="W34" s="138" t="str">
        <f>IF(ISERROR(VLOOKUP(U34,Fridag!$B$7:$G$38,5,FALSE))=TRUE,"",VLOOKUP(U34,Fridag!$B$7:$G$38,5,TRUE))</f>
        <v/>
      </c>
      <c r="X34" s="137">
        <f t="shared" si="7"/>
        <v>44072</v>
      </c>
      <c r="Y34" s="136">
        <f>IF(AND(WEEKDAY(X34)&gt;1,WEEKDAY(X34)&lt;7),IF(ISERROR(VLOOKUP(X34,Fridag!$B$7:$G$40,4,FALSE))=TRUE,normtid,IF(VLOOKUP(X34,Fridag!$B$7:$G$40,4,TRUE)=0,"ej sem",VLOOKUP(X34,Fridag!$B$7:$G$40,4,TRUE)*normtid)),"ej sem")</f>
        <v>8</v>
      </c>
      <c r="Z34" s="138" t="str">
        <f>IF(ISERROR(VLOOKUP(X34,Fridag!$B$7:$G$38,5,FALSE))=TRUE,"",VLOOKUP(X34,Fridag!$B$7:$G$38,5,TRUE))</f>
        <v/>
      </c>
      <c r="AA34" s="137">
        <f t="shared" si="8"/>
        <v>44103</v>
      </c>
      <c r="AB34" s="136">
        <f>IF(AND(WEEKDAY(AA34)&gt;1,WEEKDAY(AA34)&lt;7),IF(ISERROR(VLOOKUP(AA34,Fridag!$B$7:$G$40,4,FALSE))=TRUE,normtid,IF(VLOOKUP(AA34,Fridag!$B$7:$G$40,4,TRUE)=0,"ej sem",VLOOKUP(AA34,Fridag!$B$7:$G$40,4,TRUE)*normtid)),"ej sem")</f>
        <v>8</v>
      </c>
      <c r="AC34" s="138" t="str">
        <f>IF(ISERROR(VLOOKUP(AA34,Fridag!$B$7:$G$38,5,FALSE))=TRUE,"",VLOOKUP(AA34,Fridag!$B$7:$G$38,5,TRUE))</f>
        <v/>
      </c>
      <c r="AD34" s="137">
        <f t="shared" si="9"/>
        <v>44133</v>
      </c>
      <c r="AE34" s="136">
        <f>IF(AND(WEEKDAY(AD34)&gt;1,WEEKDAY(AD34)&lt;7),IF(ISERROR(VLOOKUP(AD34,Fridag!$B$7:$G$40,4,FALSE))=TRUE,normtid,IF(VLOOKUP(AD34,Fridag!$B$7:$G$40,4,TRUE)=0,"ej sem",VLOOKUP(AD34,Fridag!$B$7:$G$40,4,TRUE)*normtid)),"ej sem")</f>
        <v>8</v>
      </c>
      <c r="AF34" s="138" t="str">
        <f>IF(ISERROR(VLOOKUP(AD34,Fridag!$B$7:$G$38,5,FALSE))=TRUE,"",VLOOKUP(AD34,Fridag!$B$7:$G$38,5,TRUE))</f>
        <v/>
      </c>
      <c r="AG34" s="137">
        <f t="shared" si="10"/>
        <v>44164</v>
      </c>
      <c r="AH34" s="136" t="str">
        <f>IF(AND(WEEKDAY(AG34)&gt;1,WEEKDAY(AG34)&lt;7),IF(ISERROR(VLOOKUP(AG34,Fridag!$B$7:$G$40,4,FALSE))=TRUE,normtid,IF(VLOOKUP(AG34,Fridag!$B$7:$G$40,4,TRUE)=0,"ej sem",VLOOKUP(AG34,Fridag!$B$7:$G$40,4,TRUE)*normtid)),"ej sem")</f>
        <v>ej sem</v>
      </c>
      <c r="AI34" s="138" t="str">
        <f>IF(ISERROR(VLOOKUP(AG34,Fridag!$B$7:$G$38,5,FALSE))=TRUE,"",VLOOKUP(AG34,Fridag!$B$7:$G$38,5,TRUE))</f>
        <v/>
      </c>
      <c r="AJ34" s="137">
        <f t="shared" si="11"/>
        <v>44194</v>
      </c>
      <c r="AK34" s="136" t="str">
        <f>IF(AND(WEEKDAY(AJ34)&gt;1,WEEKDAY(AJ34)&lt;7),IF(ISERROR(VLOOKUP(AJ34,Fridag!$B$7:$G$40,4,FALSE))=TRUE,normtid,IF(VLOOKUP(AJ34,Fridag!$B$7:$G$40,4,TRUE)=0,"ej sem",VLOOKUP(AJ34,Fridag!$B$7:$G$40,4,TRUE)*normtid)),"ej sem")</f>
        <v>ej sem</v>
      </c>
      <c r="AL34" s="138" t="str">
        <f>IF(ISERROR(VLOOKUP(AJ34,Fridag!$B$7:$G$38,5,FALSE))=TRUE,"",VLOOKUP(AJ34,Fridag!$B$7:$G$38,5,TRUE))</f>
        <v>Klämdag</v>
      </c>
      <c r="AM34" s="471"/>
    </row>
    <row r="35" spans="1:39" s="472" customFormat="1">
      <c r="A35" s="539"/>
      <c r="B35" s="265"/>
      <c r="C35" s="135">
        <f t="shared" si="1"/>
        <v>43860</v>
      </c>
      <c r="D35" s="136">
        <f>IF(AND(WEEKDAY(C35)&gt;1,WEEKDAY(C35)&lt;7),IF(ISERROR(VLOOKUP(C35,Fridag!$B$7:$G$40,4,FALSE))=TRUE,normtid,IF(VLOOKUP(C35,Fridag!$B$7:$G$40,4,TRUE)=0,"ej sem",VLOOKUP(C35,Fridag!$B$7:$G$40,4,TRUE)*normtid)),"ej sem")</f>
        <v>8</v>
      </c>
      <c r="E35" s="138" t="str">
        <f>IF(ISERROR(VLOOKUP(C35,Fridag!$B$7:$G$38,5,FALSE))=TRUE,"",VLOOKUP(C35,Fridag!$B$7:$G$38,5,TRUE))</f>
        <v/>
      </c>
      <c r="F35" s="17"/>
      <c r="G35" s="136" t="s">
        <v>36</v>
      </c>
      <c r="H35" s="138"/>
      <c r="I35" s="137">
        <f t="shared" si="3"/>
        <v>43920</v>
      </c>
      <c r="J35" s="136" t="str">
        <f>IF(AND(WEEKDAY(I35)&gt;1,WEEKDAY(I35)&lt;7),IF(ISERROR(VLOOKUP(I35,Fridag!$B$7:$G$40,4,FALSE))=TRUE,normtid,IF(VLOOKUP(I35,Fridag!$B$7:$G$40,4,TRUE)=0,"ej sem",VLOOKUP(I35,Fridag!$B$7:$G$40,4,TRUE)*normtid)),"ej sem")</f>
        <v>ej sem</v>
      </c>
      <c r="K35" s="138" t="str">
        <f>IF(ISERROR(VLOOKUP(I35,Fridag!$B$7:$G$38,5,FALSE))=TRUE,"",VLOOKUP(I35,Fridag!$B$7:$G$38,5,TRUE))</f>
        <v>Påskdagen</v>
      </c>
      <c r="L35" s="17"/>
      <c r="M35" s="139" t="s">
        <v>36</v>
      </c>
      <c r="N35" s="138" t="s">
        <v>36</v>
      </c>
      <c r="O35" s="137">
        <f t="shared" si="5"/>
        <v>43981</v>
      </c>
      <c r="P35" s="136">
        <f>IF(AND(WEEKDAY(O35)&gt;1,WEEKDAY(O35)&lt;7),IF(ISERROR(VLOOKUP(O35,Fridag!$B$7:$G$40,4,FALSE))=TRUE,normtid,IF(VLOOKUP(O35,Fridag!$B$7:$G$40,4,TRUE)=0,"ej sem",VLOOKUP(O35,Fridag!$B$7:$G$40,4,TRUE)*normtid)),"ej sem")</f>
        <v>8</v>
      </c>
      <c r="Q35" s="138" t="str">
        <f>IF(ISERROR(VLOOKUP(O35,Fridag!$B$7:$G$38,5,FALSE))=TRUE,"",VLOOKUP(O35,Fridag!$B$7:$G$38,5,TRUE))</f>
        <v/>
      </c>
      <c r="R35" s="17"/>
      <c r="S35" s="139" t="s">
        <v>36</v>
      </c>
      <c r="T35" s="138" t="str">
        <f>IF(ISERROR(VLOOKUP(R35,Fridag!R$7:V$37,4,FALSE))=TRUE,"",VLOOKUP(R35,Fridag!R$7:V$37,4,TRUE))</f>
        <v/>
      </c>
      <c r="U35" s="137">
        <f t="shared" si="0"/>
        <v>44042</v>
      </c>
      <c r="V35" s="136">
        <f>IF(AND(WEEKDAY(U35)&gt;1,WEEKDAY(U35)&lt;7),IF(ISERROR(VLOOKUP(U35,Fridag!$B$7:$G$40,4,FALSE))=TRUE,normtid,IF(VLOOKUP(U35,Fridag!$B$7:$G$40,4,TRUE)=0,"ej sem",VLOOKUP(U35,Fridag!$B$7:$G$40,4,TRUE)*normtid)),"ej sem")</f>
        <v>8</v>
      </c>
      <c r="W35" s="138" t="str">
        <f>IF(ISERROR(VLOOKUP(U35,Fridag!$B$7:$G$38,5,FALSE))=TRUE,"",VLOOKUP(U35,Fridag!$B$7:$G$38,5,TRUE))</f>
        <v/>
      </c>
      <c r="X35" s="137">
        <f t="shared" si="7"/>
        <v>44073</v>
      </c>
      <c r="Y35" s="136" t="str">
        <f>IF(AND(WEEKDAY(X35)&gt;1,WEEKDAY(X35)&lt;7),IF(ISERROR(VLOOKUP(X35,Fridag!$B$7:$G$40,4,FALSE))=TRUE,normtid,IF(VLOOKUP(X35,Fridag!$B$7:$G$40,4,TRUE)=0,"ej sem",VLOOKUP(X35,Fridag!$B$7:$G$40,4,TRUE)*normtid)),"ej sem")</f>
        <v>ej sem</v>
      </c>
      <c r="Z35" s="138" t="str">
        <f>IF(ISERROR(VLOOKUP(X35,Fridag!$B$7:$G$38,5,FALSE))=TRUE,"",VLOOKUP(X35,Fridag!$B$7:$G$38,5,TRUE))</f>
        <v/>
      </c>
      <c r="AA35" s="17"/>
      <c r="AB35" s="140" t="s">
        <v>36</v>
      </c>
      <c r="AC35" s="138"/>
      <c r="AD35" s="137">
        <f t="shared" si="9"/>
        <v>44134</v>
      </c>
      <c r="AE35" s="136">
        <f>IF(AND(WEEKDAY(AD35)&gt;1,WEEKDAY(AD35)&lt;7),IF(ISERROR(VLOOKUP(AD35,Fridag!$B$7:$G$40,4,FALSE))=TRUE,normtid,IF(VLOOKUP(AD35,Fridag!$B$7:$G$40,4,TRUE)=0,"ej sem",VLOOKUP(AD35,Fridag!$B$7:$G$40,4,TRUE)*normtid)),"ej sem")</f>
        <v>8</v>
      </c>
      <c r="AF35" s="138" t="str">
        <f>IF(ISERROR(VLOOKUP(AD35,Fridag!$B$7:$G$38,5,FALSE))=TRUE,"",VLOOKUP(AD35,Fridag!$B$7:$G$38,5,TRUE))</f>
        <v/>
      </c>
      <c r="AG35" s="17"/>
      <c r="AH35" s="140" t="s">
        <v>36</v>
      </c>
      <c r="AI35" s="138" t="s">
        <v>36</v>
      </c>
      <c r="AJ35" s="137">
        <f t="shared" si="11"/>
        <v>44195</v>
      </c>
      <c r="AK35" s="136" t="str">
        <f>IF(AND(WEEKDAY(AJ35)&gt;1,WEEKDAY(AJ35)&lt;7),IF(ISERROR(VLOOKUP(AJ35,Fridag!$B$7:$G$40,4,FALSE))=TRUE,normtid,IF(VLOOKUP(AJ35,Fridag!$B$7:$G$40,4,TRUE)=0,"ej sem",VLOOKUP(AJ35,Fridag!$B$7:$G$40,4,TRUE)*normtid)),"ej sem")</f>
        <v>ej sem</v>
      </c>
      <c r="AL35" s="138" t="str">
        <f>IF(ISERROR(VLOOKUP(AJ35,Fridag!$B$7:$G$38,5,FALSE))=TRUE,"",VLOOKUP(AJ35,Fridag!$B$7:$G$38,5,TRUE))</f>
        <v>Nyårsafton</v>
      </c>
      <c r="AM35" s="471"/>
    </row>
    <row r="36" spans="1:39" s="336" customFormat="1" ht="12.75" customHeight="1">
      <c r="A36" s="122"/>
      <c r="B36" s="122"/>
      <c r="C36" s="17"/>
      <c r="D36" s="141">
        <f>SUM(D5:D35)</f>
        <v>172</v>
      </c>
      <c r="E36" s="142"/>
      <c r="F36" s="17"/>
      <c r="G36" s="141">
        <f>SUM(G5:G35)</f>
        <v>168</v>
      </c>
      <c r="H36" s="142"/>
      <c r="I36" s="17"/>
      <c r="J36" s="141">
        <f>SUM(J5:J35)</f>
        <v>158</v>
      </c>
      <c r="K36" s="142"/>
      <c r="L36" s="17"/>
      <c r="M36" s="141">
        <f>SUM(M5:M35)</f>
        <v>166</v>
      </c>
      <c r="N36" s="142"/>
      <c r="O36" s="17"/>
      <c r="P36" s="141">
        <f>SUM(P5:P35)</f>
        <v>160</v>
      </c>
      <c r="Q36" s="142"/>
      <c r="R36" s="17"/>
      <c r="S36" s="141">
        <f>SUM(S5:S35)</f>
        <v>136</v>
      </c>
      <c r="T36" s="142"/>
      <c r="U36" s="17"/>
      <c r="V36" s="141">
        <f>SUM(V5:V35)</f>
        <v>184</v>
      </c>
      <c r="W36" s="142"/>
      <c r="X36" s="17"/>
      <c r="Y36" s="141">
        <f>SUM(Y5:Y35)</f>
        <v>176</v>
      </c>
      <c r="Z36" s="142"/>
      <c r="AA36" s="17"/>
      <c r="AB36" s="141">
        <f>SUM(AB5:AB35)</f>
        <v>168</v>
      </c>
      <c r="AC36" s="142"/>
      <c r="AD36" s="17"/>
      <c r="AE36" s="141">
        <f>SUM(AE5:AE35)</f>
        <v>184</v>
      </c>
      <c r="AF36" s="142"/>
      <c r="AG36" s="17"/>
      <c r="AH36" s="141">
        <f>SUM(AH5:AH35)</f>
        <v>164</v>
      </c>
      <c r="AI36" s="142"/>
      <c r="AJ36" s="17"/>
      <c r="AK36" s="141">
        <f>SUM(AK5:AK35)</f>
        <v>120</v>
      </c>
      <c r="AL36" s="474"/>
      <c r="AM36" s="475"/>
    </row>
    <row r="37" spans="1:39" s="472" customFormat="1">
      <c r="A37" s="122"/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2"/>
      <c r="V37" s="122"/>
      <c r="W37" s="122"/>
      <c r="X37" s="122"/>
      <c r="Y37" s="122"/>
      <c r="Z37" s="264"/>
      <c r="AA37" s="122"/>
      <c r="AB37" s="122"/>
      <c r="AC37" s="264"/>
      <c r="AD37" s="122"/>
      <c r="AE37" s="122"/>
      <c r="AF37" s="122"/>
      <c r="AG37" s="122"/>
      <c r="AH37" s="122"/>
      <c r="AI37" s="122"/>
      <c r="AJ37" s="122"/>
      <c r="AK37" s="122"/>
      <c r="AL37" s="471"/>
      <c r="AM37" s="471"/>
    </row>
    <row r="38" spans="1:39" s="472" customFormat="1">
      <c r="A38" s="122"/>
      <c r="B38" s="122"/>
      <c r="C38" s="122"/>
      <c r="D38" s="122"/>
      <c r="E38" s="122"/>
      <c r="F38" s="122"/>
      <c r="G38" s="476"/>
      <c r="H38" s="476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122"/>
      <c r="AC38" s="122"/>
      <c r="AD38" s="122"/>
      <c r="AE38" s="122"/>
      <c r="AF38" s="122"/>
      <c r="AG38" s="122"/>
      <c r="AH38" s="122"/>
      <c r="AI38" s="122"/>
      <c r="AJ38" s="122"/>
      <c r="AK38" s="122"/>
      <c r="AL38" s="471"/>
      <c r="AM38" s="471"/>
    </row>
    <row r="39" spans="1:39" s="472" customFormat="1">
      <c r="A39" s="122"/>
      <c r="B39" s="122"/>
      <c r="C39" s="122"/>
      <c r="D39" s="122"/>
      <c r="E39" s="122"/>
      <c r="F39" s="122"/>
      <c r="G39" s="122"/>
      <c r="H39" s="122"/>
      <c r="I39" s="122"/>
      <c r="J39" s="122"/>
      <c r="K39" s="361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AD39" s="122"/>
      <c r="AE39" s="122"/>
      <c r="AF39" s="122"/>
      <c r="AG39" s="122"/>
      <c r="AH39" s="122"/>
      <c r="AI39" s="122"/>
      <c r="AJ39" s="122"/>
      <c r="AK39" s="122"/>
      <c r="AL39" s="471"/>
      <c r="AM39" s="471"/>
    </row>
  </sheetData>
  <sheetProtection sheet="1" objects="1" scenarios="1"/>
  <mergeCells count="2">
    <mergeCell ref="A28:A35"/>
    <mergeCell ref="D4:E4"/>
  </mergeCells>
  <phoneticPr fontId="0" type="noConversion"/>
  <printOptions gridLines="1"/>
  <pageMargins left="1.01" right="0.74" top="0.95" bottom="0.65" header="0.39370078740157483" footer="0.39370078740157483"/>
  <pageSetup paperSize="9" scale="80" fitToWidth="2" orientation="landscape" horizontalDpi="4294967292" verticalDpi="4294967292" r:id="rId1"/>
  <headerFooter alignWithMargins="0"/>
  <colBreaks count="1" manualBreakCount="1">
    <brk id="20" max="1048575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4228">
    <pageSetUpPr fitToPage="1"/>
  </sheetPr>
  <dimension ref="A1:Q62"/>
  <sheetViews>
    <sheetView showGridLines="0" showRowColHeaders="0" showZeros="0" topLeftCell="A9" zoomScale="80" workbookViewId="0">
      <pane ySplit="3" topLeftCell="A12" activePane="bottomLeft" state="frozenSplit"/>
      <selection activeCell="D38" sqref="D38"/>
      <selection pane="bottomLeft" activeCell="G14" sqref="G14"/>
    </sheetView>
  </sheetViews>
  <sheetFormatPr defaultColWidth="11.3828125" defaultRowHeight="12.45"/>
  <cols>
    <col min="1" max="1" width="2.84375" style="269" customWidth="1"/>
    <col min="2" max="2" width="6" style="318" hidden="1" customWidth="1"/>
    <col min="3" max="3" width="7.84375" style="320" hidden="1" customWidth="1"/>
    <col min="4" max="4" width="4.07421875" style="30" customWidth="1"/>
    <col min="5" max="5" width="5.15234375" style="30" customWidth="1"/>
    <col min="6" max="6" width="5.3828125" style="30" hidden="1" customWidth="1"/>
    <col min="7" max="10" width="7.84375" style="61" customWidth="1"/>
    <col min="11" max="11" width="8.15234375" style="58" customWidth="1"/>
    <col min="12" max="12" width="27.84375" style="30" customWidth="1"/>
    <col min="13" max="13" width="4.07421875" style="354" hidden="1" customWidth="1"/>
    <col min="14" max="14" width="7.84375" style="354" hidden="1" customWidth="1"/>
    <col min="15" max="15" width="11.84375" style="30" customWidth="1"/>
    <col min="16" max="16384" width="11.3828125" style="30"/>
  </cols>
  <sheetData>
    <row r="1" spans="1:17" s="272" customFormat="1" ht="14.25" customHeight="1">
      <c r="A1" s="21" t="s">
        <v>30</v>
      </c>
      <c r="B1" s="315"/>
      <c r="C1" s="315"/>
      <c r="O1" s="316" t="s">
        <v>31</v>
      </c>
    </row>
    <row r="2" spans="1:17" s="145" customFormat="1" ht="14.25" customHeight="1">
      <c r="A2" s="145">
        <f>inst</f>
        <v>0</v>
      </c>
      <c r="B2" s="317"/>
      <c r="C2" s="317"/>
    </row>
    <row r="3" spans="1:17" s="17" customFormat="1" ht="15.75" customHeight="1">
      <c r="B3" s="318"/>
      <c r="C3" s="318"/>
      <c r="I3" s="319"/>
    </row>
    <row r="4" spans="1:17" s="17" customFormat="1" ht="15.75" customHeight="1">
      <c r="B4" s="318"/>
      <c r="C4" s="318"/>
      <c r="L4" s="176" t="s">
        <v>34</v>
      </c>
      <c r="M4" s="176"/>
      <c r="N4" s="176"/>
      <c r="O4" s="32">
        <f>D14</f>
        <v>35795</v>
      </c>
    </row>
    <row r="5" spans="1:17" s="17" customFormat="1" ht="15.75" customHeight="1">
      <c r="B5" s="318"/>
      <c r="C5" s="318"/>
      <c r="L5" s="176" t="s">
        <v>33</v>
      </c>
      <c r="M5" s="176"/>
      <c r="N5" s="176"/>
      <c r="O5" s="304" t="s">
        <v>68</v>
      </c>
    </row>
    <row r="6" spans="1:17" s="17" customFormat="1" ht="15.75" customHeight="1">
      <c r="B6" s="288">
        <f ca="1">INT((LEN(fel_1)+LEN(fel_2)+LEN(fel_3))/60)+COUNTIF(B14:C44,"1")</f>
        <v>3</v>
      </c>
      <c r="C6" s="318"/>
    </row>
    <row r="7" spans="1:17" ht="12.75" customHeight="1">
      <c r="D7" s="34" t="s">
        <v>73</v>
      </c>
      <c r="E7" s="35"/>
      <c r="F7" s="36"/>
      <c r="G7" s="36"/>
      <c r="H7" s="36"/>
      <c r="I7" s="36"/>
      <c r="J7" s="36"/>
      <c r="K7" s="37" t="s">
        <v>74</v>
      </c>
      <c r="L7" s="34" t="s">
        <v>72</v>
      </c>
      <c r="M7" s="35"/>
      <c r="N7" s="35"/>
      <c r="O7" s="38"/>
    </row>
    <row r="8" spans="1:17" s="323" customFormat="1" ht="17.25" customHeight="1">
      <c r="A8" s="269"/>
      <c r="B8" s="318"/>
      <c r="C8" s="321"/>
      <c r="D8" s="39" t="str">
        <f>IF(namn&lt;&gt;"","  "&amp;namn,"")</f>
        <v/>
      </c>
      <c r="E8" s="40"/>
      <c r="F8" s="41"/>
      <c r="G8" s="41"/>
      <c r="H8" s="41"/>
      <c r="I8" s="41"/>
      <c r="J8" s="41"/>
      <c r="K8" s="180">
        <f>tjänst</f>
        <v>1</v>
      </c>
      <c r="L8" s="42" t="str">
        <f>IF(p_nr&lt;&gt;"","  "&amp;p_nr,"")</f>
        <v/>
      </c>
      <c r="M8" s="43"/>
      <c r="N8" s="43"/>
      <c r="O8" s="322"/>
      <c r="Q8" s="371"/>
    </row>
    <row r="9" spans="1:17" s="323" customFormat="1" ht="5.25" customHeight="1">
      <c r="A9" s="269"/>
      <c r="B9" s="318"/>
      <c r="C9" s="321"/>
      <c r="D9" s="241"/>
      <c r="E9" s="242"/>
      <c r="F9" s="243"/>
      <c r="G9" s="243"/>
      <c r="H9" s="243"/>
      <c r="I9" s="243"/>
      <c r="J9" s="243"/>
      <c r="K9" s="244"/>
      <c r="L9" s="245"/>
      <c r="M9" s="260"/>
      <c r="N9" s="260"/>
      <c r="O9" s="261"/>
    </row>
    <row r="10" spans="1:17" s="326" customFormat="1" ht="12.75" customHeight="1">
      <c r="A10" s="324"/>
      <c r="B10" s="325" t="s">
        <v>99</v>
      </c>
      <c r="D10" s="246" t="s">
        <v>88</v>
      </c>
      <c r="E10" s="246" t="s">
        <v>39</v>
      </c>
      <c r="F10" s="247" t="s">
        <v>11</v>
      </c>
      <c r="G10" s="248" t="s">
        <v>14</v>
      </c>
      <c r="H10" s="248" t="s">
        <v>15</v>
      </c>
      <c r="I10" s="248" t="s">
        <v>15</v>
      </c>
      <c r="J10" s="248" t="s">
        <v>14</v>
      </c>
      <c r="K10" s="249" t="s">
        <v>109</v>
      </c>
      <c r="L10" s="246" t="s">
        <v>76</v>
      </c>
      <c r="M10" s="257" t="s">
        <v>23</v>
      </c>
      <c r="N10" s="258"/>
      <c r="O10" s="250" t="s">
        <v>77</v>
      </c>
    </row>
    <row r="11" spans="1:17" s="326" customFormat="1" ht="12.75" customHeight="1">
      <c r="A11" s="324"/>
      <c r="B11" s="327" t="s">
        <v>0</v>
      </c>
      <c r="C11" s="328" t="s">
        <v>1</v>
      </c>
      <c r="D11" s="251" t="s">
        <v>9</v>
      </c>
      <c r="E11" s="251" t="s">
        <v>10</v>
      </c>
      <c r="F11" s="251" t="s">
        <v>12</v>
      </c>
      <c r="G11" s="252" t="s">
        <v>16</v>
      </c>
      <c r="H11" s="253" t="s">
        <v>16</v>
      </c>
      <c r="I11" s="253" t="s">
        <v>17</v>
      </c>
      <c r="J11" s="248" t="s">
        <v>18</v>
      </c>
      <c r="K11" s="254" t="str">
        <f ca="1">IF(INFO("system")="mac","tim.minut","tim:minut")</f>
        <v>tim:minut</v>
      </c>
      <c r="L11" s="255" t="s">
        <v>98</v>
      </c>
      <c r="M11" s="259" t="s">
        <v>22</v>
      </c>
      <c r="N11" s="259"/>
      <c r="O11" s="256" t="s">
        <v>110</v>
      </c>
    </row>
    <row r="12" spans="1:17" s="331" customFormat="1" ht="18" customHeight="1" thickBot="1">
      <c r="A12" s="329"/>
      <c r="B12" s="327"/>
      <c r="C12" s="330"/>
      <c r="D12" s="542"/>
      <c r="E12" s="543"/>
      <c r="F12" s="169"/>
      <c r="G12" s="544"/>
      <c r="H12" s="545"/>
      <c r="I12" s="545"/>
      <c r="J12" s="545"/>
      <c r="K12" s="545"/>
      <c r="L12" s="545"/>
      <c r="M12" s="170"/>
      <c r="N12" s="170"/>
      <c r="O12" s="171"/>
    </row>
    <row r="13" spans="1:17" s="331" customFormat="1" ht="18" hidden="1" customHeight="1" thickBot="1">
      <c r="A13" s="329"/>
      <c r="B13" s="327"/>
      <c r="C13" s="332"/>
      <c r="D13" s="546">
        <f>DATE(2002,1,1)-1</f>
        <v>35794</v>
      </c>
      <c r="E13" s="547"/>
      <c r="F13" s="547"/>
      <c r="G13" s="547"/>
      <c r="H13" s="333"/>
      <c r="I13" s="333"/>
      <c r="J13" s="333"/>
      <c r="K13" s="333"/>
      <c r="L13" s="333"/>
      <c r="M13" s="306"/>
      <c r="N13" s="306"/>
      <c r="O13" s="307"/>
    </row>
    <row r="14" spans="1:17" ht="17.25" customHeight="1">
      <c r="A14" s="334"/>
      <c r="B14" s="335" t="str">
        <f t="shared" ref="B14:B44" si="0">IF(AND(F14="ej sem",LEFT(L14,3)="sem"),1,"")</f>
        <v/>
      </c>
      <c r="C14" s="320">
        <f t="shared" ref="C14:C44" si="1">IF(K14&lt;&gt;"",IF(ERROR.TYPE(N14)=3,1,),)</f>
        <v>0</v>
      </c>
      <c r="D14" s="216">
        <f>D13+1</f>
        <v>35795</v>
      </c>
      <c r="E14" s="217" t="str">
        <f t="shared" ref="E14:E44" si="2">PROPER(TEXT(WEEKDAY(D14)+1,"DDD"))</f>
        <v>Tis</v>
      </c>
      <c r="F14" s="199">
        <v>0</v>
      </c>
      <c r="G14" s="311"/>
      <c r="H14" s="311"/>
      <c r="I14" s="311"/>
      <c r="J14" s="311"/>
      <c r="K14" s="208"/>
      <c r="L14" s="201" t="s">
        <v>78</v>
      </c>
      <c r="M14" s="200" t="str">
        <f t="shared" ref="M14:M44" ca="1" si="3">IF(TODAY()&gt;=D14,IF(AND(LEFT(L14,3)="SEM",F14&lt;&gt;"ej sem"),1,""),0)</f>
        <v/>
      </c>
      <c r="N14" s="201">
        <f t="shared" ref="N14:N44" ca="1" si="4">IF(AND(TODAY()&gt;=D14,F14&gt;0,OR(G14&gt;0,I14&gt;0,K14&lt;&gt;0)),((J14-I14+H14-G14)+IF(ISBLANK(K14),0,IF(LEFT(K14,1)="-",-TIMEVALUE(RIGHT(K14,LEN(K14)-1)),IF(LEFT(K14,1)="+",TIMEVALUE(RIGHT(K14,LEN(K14)-1)),TIMEVALUE(K14)))))*24,IF(OR(M14=1,OR(LEFT(L14,4)="SJUK")),F14*tjänst,0))</f>
        <v>0</v>
      </c>
      <c r="O14" s="201">
        <f t="shared" ref="O14:O44" ca="1" si="5">IF(N14&lt;&gt;0,N14,0)</f>
        <v>0</v>
      </c>
    </row>
    <row r="15" spans="1:17" ht="15.75" customHeight="1">
      <c r="B15" s="335" t="str">
        <f t="shared" si="0"/>
        <v/>
      </c>
      <c r="C15" s="320">
        <f t="shared" si="1"/>
        <v>0</v>
      </c>
      <c r="D15" s="189">
        <f t="shared" ref="D15:D44" si="6">D14+1</f>
        <v>35796</v>
      </c>
      <c r="E15" s="218" t="str">
        <f t="shared" si="2"/>
        <v>Ons</v>
      </c>
      <c r="F15" s="191">
        <f>IF(AND(WEEKDAY(D15)&lt;&gt;1,WEEKDAY(D15)&lt;&gt;7),8,0)</f>
        <v>8</v>
      </c>
      <c r="G15" s="312">
        <v>0.33333333333333331</v>
      </c>
      <c r="H15" s="312">
        <v>0.5</v>
      </c>
      <c r="I15" s="312">
        <v>0.52083333333333337</v>
      </c>
      <c r="J15" s="312">
        <v>0.6875</v>
      </c>
      <c r="K15" s="313"/>
      <c r="L15" s="196"/>
      <c r="M15" s="195" t="str">
        <f t="shared" ca="1" si="3"/>
        <v/>
      </c>
      <c r="N15" s="196">
        <f t="shared" ca="1" si="4"/>
        <v>8</v>
      </c>
      <c r="O15" s="196">
        <f t="shared" ca="1" si="5"/>
        <v>8</v>
      </c>
    </row>
    <row r="16" spans="1:17" ht="15.75" customHeight="1">
      <c r="B16" s="335" t="str">
        <f t="shared" si="0"/>
        <v/>
      </c>
      <c r="C16" s="320">
        <f t="shared" si="1"/>
        <v>0</v>
      </c>
      <c r="D16" s="181">
        <f t="shared" si="6"/>
        <v>35797</v>
      </c>
      <c r="E16" s="219" t="str">
        <f t="shared" si="2"/>
        <v>Tor</v>
      </c>
      <c r="F16" s="183">
        <f t="shared" ref="F16:F44" si="7">IF(AND(WEEKDAY(D16)&lt;&gt;1,WEEKDAY(D16)&lt;&gt;7),8,0)</f>
        <v>8</v>
      </c>
      <c r="G16" s="207">
        <v>0.33333333333333331</v>
      </c>
      <c r="H16" s="207">
        <v>0.48958333333333331</v>
      </c>
      <c r="I16" s="207">
        <v>0.53125</v>
      </c>
      <c r="J16" s="207">
        <v>0.69444444444444453</v>
      </c>
      <c r="K16" s="208"/>
      <c r="L16" s="188"/>
      <c r="M16" s="187" t="str">
        <f t="shared" ca="1" si="3"/>
        <v/>
      </c>
      <c r="N16" s="188">
        <f ca="1">IF(AND(TODAY()&gt;=D16,F16&gt;0,OR(G16&gt;0,I16&gt;0,K16&lt;&gt;0)),((J16-I16+H16-G16)+IF(ISBLANK(K16),0,IF(LEFT(K16,1)="-",-TIMEVALUE(RIGHT(K16,LEN(K16)-1)),IF(LEFT(K16,1)="+",TIMEVALUE(RIGHT(K16,LEN(K16)-1)),TIMEVALUE(K16)))))*24,IF(OR(M16=1,OR(LEFT(L16,4)="SJUK")),F16*tjänst,0))</f>
        <v>7.6666666666666696</v>
      </c>
      <c r="O16" s="188">
        <f t="shared" ca="1" si="5"/>
        <v>7.6666666666666696</v>
      </c>
    </row>
    <row r="17" spans="2:15" ht="15.75" customHeight="1">
      <c r="B17" s="335" t="str">
        <f t="shared" si="0"/>
        <v/>
      </c>
      <c r="C17" s="320">
        <f t="shared" si="1"/>
        <v>0</v>
      </c>
      <c r="D17" s="189">
        <f t="shared" si="6"/>
        <v>35798</v>
      </c>
      <c r="E17" s="218" t="str">
        <f t="shared" si="2"/>
        <v>Fre</v>
      </c>
      <c r="F17" s="191">
        <f t="shared" si="7"/>
        <v>8</v>
      </c>
      <c r="G17" s="312"/>
      <c r="H17" s="312"/>
      <c r="I17" s="312"/>
      <c r="J17" s="312"/>
      <c r="K17" s="313"/>
      <c r="L17" s="196" t="s">
        <v>69</v>
      </c>
      <c r="M17" s="195">
        <f t="shared" ca="1" si="3"/>
        <v>1</v>
      </c>
      <c r="N17" s="196">
        <f t="shared" ca="1" si="4"/>
        <v>8</v>
      </c>
      <c r="O17" s="196">
        <f t="shared" ca="1" si="5"/>
        <v>8</v>
      </c>
    </row>
    <row r="18" spans="2:15" ht="15.75" customHeight="1">
      <c r="B18" s="335" t="str">
        <f t="shared" si="0"/>
        <v/>
      </c>
      <c r="C18" s="320">
        <f t="shared" si="1"/>
        <v>0</v>
      </c>
      <c r="D18" s="181">
        <f t="shared" si="6"/>
        <v>35799</v>
      </c>
      <c r="E18" s="219" t="str">
        <f t="shared" si="2"/>
        <v>Lör</v>
      </c>
      <c r="F18" s="183">
        <f t="shared" si="7"/>
        <v>0</v>
      </c>
      <c r="G18" s="207"/>
      <c r="H18" s="207"/>
      <c r="I18" s="207"/>
      <c r="J18" s="207"/>
      <c r="K18" s="208"/>
      <c r="L18" s="188" t="s">
        <v>43</v>
      </c>
      <c r="M18" s="187" t="str">
        <f t="shared" ca="1" si="3"/>
        <v/>
      </c>
      <c r="N18" s="188">
        <f t="shared" ca="1" si="4"/>
        <v>0</v>
      </c>
      <c r="O18" s="188">
        <f t="shared" ca="1" si="5"/>
        <v>0</v>
      </c>
    </row>
    <row r="19" spans="2:15" ht="15.75" customHeight="1">
      <c r="B19" s="335" t="str">
        <f t="shared" si="0"/>
        <v/>
      </c>
      <c r="C19" s="320">
        <f t="shared" si="1"/>
        <v>0</v>
      </c>
      <c r="D19" s="189">
        <f t="shared" si="6"/>
        <v>35800</v>
      </c>
      <c r="E19" s="218" t="str">
        <f t="shared" si="2"/>
        <v>Sön</v>
      </c>
      <c r="F19" s="191">
        <f t="shared" si="7"/>
        <v>0</v>
      </c>
      <c r="G19" s="312"/>
      <c r="H19" s="312"/>
      <c r="I19" s="312"/>
      <c r="J19" s="312"/>
      <c r="K19" s="313"/>
      <c r="L19" s="196" t="s">
        <v>79</v>
      </c>
      <c r="M19" s="195" t="str">
        <f t="shared" ca="1" si="3"/>
        <v/>
      </c>
      <c r="N19" s="196">
        <f t="shared" ca="1" si="4"/>
        <v>0</v>
      </c>
      <c r="O19" s="196">
        <f t="shared" ca="1" si="5"/>
        <v>0</v>
      </c>
    </row>
    <row r="20" spans="2:15" ht="15.75" customHeight="1">
      <c r="B20" s="335" t="str">
        <f t="shared" si="0"/>
        <v/>
      </c>
      <c r="C20" s="320">
        <f t="shared" si="1"/>
        <v>0</v>
      </c>
      <c r="D20" s="181">
        <f t="shared" si="6"/>
        <v>35801</v>
      </c>
      <c r="E20" s="219" t="str">
        <f t="shared" si="2"/>
        <v>Mån</v>
      </c>
      <c r="F20" s="183">
        <f t="shared" si="7"/>
        <v>8</v>
      </c>
      <c r="G20" s="207">
        <v>0.3125</v>
      </c>
      <c r="H20" s="207">
        <v>0.48958333333333331</v>
      </c>
      <c r="I20" s="207">
        <v>0.52083333333333337</v>
      </c>
      <c r="J20" s="207">
        <v>0.6875</v>
      </c>
      <c r="K20" s="208"/>
      <c r="L20" s="188"/>
      <c r="M20" s="187" t="str">
        <f t="shared" ca="1" si="3"/>
        <v/>
      </c>
      <c r="N20" s="188">
        <f t="shared" ca="1" si="4"/>
        <v>8.25</v>
      </c>
      <c r="O20" s="188">
        <f t="shared" ca="1" si="5"/>
        <v>8.25</v>
      </c>
    </row>
    <row r="21" spans="2:15" ht="15.75" customHeight="1">
      <c r="B21" s="335" t="str">
        <f t="shared" si="0"/>
        <v/>
      </c>
      <c r="C21" s="320" t="e">
        <f t="shared" ca="1" si="1"/>
        <v>#N/A</v>
      </c>
      <c r="D21" s="189">
        <f t="shared" si="6"/>
        <v>35802</v>
      </c>
      <c r="E21" s="218" t="str">
        <f t="shared" si="2"/>
        <v>Tis</v>
      </c>
      <c r="F21" s="191">
        <f t="shared" si="7"/>
        <v>8</v>
      </c>
      <c r="G21" s="312">
        <v>0.3125</v>
      </c>
      <c r="H21" s="312">
        <v>0.5</v>
      </c>
      <c r="I21" s="312">
        <v>0.52083333333333337</v>
      </c>
      <c r="J21" s="312">
        <v>0.70833333333333337</v>
      </c>
      <c r="K21" s="313" t="s">
        <v>130</v>
      </c>
      <c r="L21" s="196" t="s">
        <v>103</v>
      </c>
      <c r="M21" s="195" t="str">
        <f t="shared" ca="1" si="3"/>
        <v/>
      </c>
      <c r="N21" s="196">
        <f t="shared" ca="1" si="4"/>
        <v>8</v>
      </c>
      <c r="O21" s="196">
        <f t="shared" ca="1" si="5"/>
        <v>8</v>
      </c>
    </row>
    <row r="22" spans="2:15" ht="15.75" customHeight="1">
      <c r="B22" s="335" t="str">
        <f t="shared" si="0"/>
        <v/>
      </c>
      <c r="C22" s="320">
        <f t="shared" si="1"/>
        <v>0</v>
      </c>
      <c r="D22" s="181">
        <f t="shared" si="6"/>
        <v>35803</v>
      </c>
      <c r="E22" s="219" t="str">
        <f t="shared" si="2"/>
        <v>Ons</v>
      </c>
      <c r="F22" s="183">
        <f t="shared" si="7"/>
        <v>8</v>
      </c>
      <c r="G22" s="207">
        <v>0.3125</v>
      </c>
      <c r="H22" s="207">
        <v>0.48958333333333331</v>
      </c>
      <c r="I22" s="207">
        <v>0.52083333333333337</v>
      </c>
      <c r="J22" s="207">
        <v>0.6875</v>
      </c>
      <c r="K22" s="208"/>
      <c r="L22" s="188"/>
      <c r="M22" s="187" t="str">
        <f t="shared" ca="1" si="3"/>
        <v/>
      </c>
      <c r="N22" s="188">
        <f t="shared" ca="1" si="4"/>
        <v>8.25</v>
      </c>
      <c r="O22" s="188">
        <f t="shared" ca="1" si="5"/>
        <v>8.25</v>
      </c>
    </row>
    <row r="23" spans="2:15" ht="15.75" customHeight="1">
      <c r="B23" s="335" t="str">
        <f t="shared" si="0"/>
        <v/>
      </c>
      <c r="C23" s="320">
        <f t="shared" si="1"/>
        <v>0</v>
      </c>
      <c r="D23" s="189">
        <f t="shared" si="6"/>
        <v>35804</v>
      </c>
      <c r="E23" s="218" t="str">
        <f t="shared" si="2"/>
        <v>Tor</v>
      </c>
      <c r="F23" s="191">
        <f t="shared" si="7"/>
        <v>8</v>
      </c>
      <c r="G23" s="312">
        <v>0.3125</v>
      </c>
      <c r="H23" s="312">
        <v>0.5</v>
      </c>
      <c r="I23" s="312">
        <v>0.52083333333333337</v>
      </c>
      <c r="J23" s="312">
        <v>0.70833333333333337</v>
      </c>
      <c r="K23" s="313"/>
      <c r="L23" s="196"/>
      <c r="M23" s="195" t="str">
        <f t="shared" ca="1" si="3"/>
        <v/>
      </c>
      <c r="N23" s="196">
        <f t="shared" ca="1" si="4"/>
        <v>9</v>
      </c>
      <c r="O23" s="196">
        <f t="shared" ca="1" si="5"/>
        <v>9</v>
      </c>
    </row>
    <row r="24" spans="2:15" ht="15.75" customHeight="1">
      <c r="B24" s="335" t="str">
        <f t="shared" si="0"/>
        <v/>
      </c>
      <c r="C24" s="320">
        <f t="shared" si="1"/>
        <v>0</v>
      </c>
      <c r="D24" s="181">
        <f t="shared" si="6"/>
        <v>35805</v>
      </c>
      <c r="E24" s="219" t="str">
        <f t="shared" si="2"/>
        <v>Fre</v>
      </c>
      <c r="F24" s="183">
        <f t="shared" si="7"/>
        <v>8</v>
      </c>
      <c r="G24" s="207">
        <v>0.3125</v>
      </c>
      <c r="H24" s="207">
        <v>0.48958333333333331</v>
      </c>
      <c r="I24" s="207">
        <v>0.52083333333333337</v>
      </c>
      <c r="J24" s="207">
        <v>0.6875</v>
      </c>
      <c r="K24" s="208"/>
      <c r="L24" s="188"/>
      <c r="M24" s="187" t="str">
        <f t="shared" ca="1" si="3"/>
        <v/>
      </c>
      <c r="N24" s="188">
        <f t="shared" ca="1" si="4"/>
        <v>8.25</v>
      </c>
      <c r="O24" s="188">
        <f t="shared" ca="1" si="5"/>
        <v>8.25</v>
      </c>
    </row>
    <row r="25" spans="2:15" ht="15.75" customHeight="1">
      <c r="B25" s="335" t="str">
        <f t="shared" si="0"/>
        <v/>
      </c>
      <c r="C25" s="320">
        <f t="shared" si="1"/>
        <v>0</v>
      </c>
      <c r="D25" s="189">
        <f t="shared" si="6"/>
        <v>35806</v>
      </c>
      <c r="E25" s="218" t="str">
        <f t="shared" si="2"/>
        <v>Lör</v>
      </c>
      <c r="F25" s="191">
        <f t="shared" si="7"/>
        <v>0</v>
      </c>
      <c r="G25" s="312"/>
      <c r="H25" s="312"/>
      <c r="I25" s="312"/>
      <c r="J25" s="312"/>
      <c r="K25" s="313"/>
      <c r="L25" s="196"/>
      <c r="M25" s="195" t="str">
        <f t="shared" ca="1" si="3"/>
        <v/>
      </c>
      <c r="N25" s="196">
        <f t="shared" ca="1" si="4"/>
        <v>0</v>
      </c>
      <c r="O25" s="196">
        <f t="shared" ca="1" si="5"/>
        <v>0</v>
      </c>
    </row>
    <row r="26" spans="2:15" ht="15.75" customHeight="1">
      <c r="B26" s="335" t="str">
        <f t="shared" si="0"/>
        <v/>
      </c>
      <c r="C26" s="320">
        <f t="shared" si="1"/>
        <v>0</v>
      </c>
      <c r="D26" s="181">
        <f t="shared" si="6"/>
        <v>35807</v>
      </c>
      <c r="E26" s="219" t="str">
        <f t="shared" si="2"/>
        <v>Sön</v>
      </c>
      <c r="F26" s="183">
        <f t="shared" si="7"/>
        <v>0</v>
      </c>
      <c r="G26" s="207"/>
      <c r="H26" s="207"/>
      <c r="I26" s="207"/>
      <c r="J26" s="207"/>
      <c r="K26" s="208"/>
      <c r="L26" s="188"/>
      <c r="M26" s="187" t="str">
        <f t="shared" ca="1" si="3"/>
        <v/>
      </c>
      <c r="N26" s="188">
        <f t="shared" ca="1" si="4"/>
        <v>0</v>
      </c>
      <c r="O26" s="188">
        <f t="shared" ca="1" si="5"/>
        <v>0</v>
      </c>
    </row>
    <row r="27" spans="2:15" ht="15.75" customHeight="1">
      <c r="B27" s="335" t="str">
        <f t="shared" si="0"/>
        <v/>
      </c>
      <c r="C27" s="320">
        <f t="shared" si="1"/>
        <v>0</v>
      </c>
      <c r="D27" s="189">
        <f t="shared" si="6"/>
        <v>35808</v>
      </c>
      <c r="E27" s="218" t="str">
        <f t="shared" si="2"/>
        <v>Mån</v>
      </c>
      <c r="F27" s="191">
        <f t="shared" si="7"/>
        <v>8</v>
      </c>
      <c r="G27" s="312">
        <v>0.3125</v>
      </c>
      <c r="H27" s="312">
        <v>0.5</v>
      </c>
      <c r="I27" s="312">
        <v>0.52083333333333337</v>
      </c>
      <c r="J27" s="312">
        <v>0.70833333333333337</v>
      </c>
      <c r="K27" s="313"/>
      <c r="L27" s="196"/>
      <c r="M27" s="195" t="str">
        <f t="shared" ca="1" si="3"/>
        <v/>
      </c>
      <c r="N27" s="196">
        <f t="shared" ca="1" si="4"/>
        <v>9</v>
      </c>
      <c r="O27" s="196">
        <f t="shared" ca="1" si="5"/>
        <v>9</v>
      </c>
    </row>
    <row r="28" spans="2:15" ht="15.75" customHeight="1">
      <c r="B28" s="335" t="str">
        <f t="shared" si="0"/>
        <v/>
      </c>
      <c r="C28" s="320">
        <f t="shared" si="1"/>
        <v>0</v>
      </c>
      <c r="D28" s="181">
        <f t="shared" si="6"/>
        <v>35809</v>
      </c>
      <c r="E28" s="219" t="str">
        <f t="shared" si="2"/>
        <v>Tis</v>
      </c>
      <c r="F28" s="183">
        <f t="shared" si="7"/>
        <v>8</v>
      </c>
      <c r="G28" s="207">
        <v>0.3125</v>
      </c>
      <c r="H28" s="207">
        <v>0.48958333333333331</v>
      </c>
      <c r="I28" s="207">
        <v>0.52083333333333337</v>
      </c>
      <c r="J28" s="207">
        <v>0.6875</v>
      </c>
      <c r="K28" s="208"/>
      <c r="L28" s="188"/>
      <c r="M28" s="187" t="str">
        <f t="shared" ca="1" si="3"/>
        <v/>
      </c>
      <c r="N28" s="188">
        <f t="shared" ca="1" si="4"/>
        <v>8.25</v>
      </c>
      <c r="O28" s="188">
        <f t="shared" ca="1" si="5"/>
        <v>8.25</v>
      </c>
    </row>
    <row r="29" spans="2:15" ht="15.75" customHeight="1">
      <c r="B29" s="335" t="str">
        <f t="shared" si="0"/>
        <v/>
      </c>
      <c r="C29" s="320" t="e">
        <f t="shared" ca="1" si="1"/>
        <v>#N/A</v>
      </c>
      <c r="D29" s="189">
        <f t="shared" si="6"/>
        <v>35810</v>
      </c>
      <c r="E29" s="218" t="str">
        <f t="shared" si="2"/>
        <v>Ons</v>
      </c>
      <c r="F29" s="191">
        <f t="shared" si="7"/>
        <v>8</v>
      </c>
      <c r="G29" s="312"/>
      <c r="H29" s="312"/>
      <c r="I29" s="312"/>
      <c r="J29" s="312"/>
      <c r="K29" s="313" t="s">
        <v>62</v>
      </c>
      <c r="L29" s="196" t="s">
        <v>63</v>
      </c>
      <c r="M29" s="195" t="str">
        <f t="shared" ca="1" si="3"/>
        <v/>
      </c>
      <c r="N29" s="196">
        <f t="shared" ca="1" si="4"/>
        <v>8</v>
      </c>
      <c r="O29" s="196">
        <f t="shared" ca="1" si="5"/>
        <v>8</v>
      </c>
    </row>
    <row r="30" spans="2:15" ht="15.75" customHeight="1">
      <c r="B30" s="335" t="str">
        <f t="shared" si="0"/>
        <v/>
      </c>
      <c r="C30" s="320" t="e">
        <f t="shared" ca="1" si="1"/>
        <v>#N/A</v>
      </c>
      <c r="D30" s="181">
        <f t="shared" si="6"/>
        <v>35811</v>
      </c>
      <c r="E30" s="219" t="str">
        <f t="shared" si="2"/>
        <v>Tor</v>
      </c>
      <c r="F30" s="183">
        <f t="shared" si="7"/>
        <v>8</v>
      </c>
      <c r="G30" s="207">
        <v>0.39930555555555558</v>
      </c>
      <c r="H30" s="207">
        <v>0.48958333333333331</v>
      </c>
      <c r="I30" s="207">
        <v>0.53125</v>
      </c>
      <c r="J30" s="207">
        <v>0.69444444444444453</v>
      </c>
      <c r="K30" s="208" t="s">
        <v>41</v>
      </c>
      <c r="L30" s="188" t="s">
        <v>42</v>
      </c>
      <c r="M30" s="187" t="str">
        <f t="shared" ca="1" si="3"/>
        <v/>
      </c>
      <c r="N30" s="188">
        <f t="shared" ca="1" si="4"/>
        <v>7.4166666666666696</v>
      </c>
      <c r="O30" s="188">
        <f t="shared" ca="1" si="5"/>
        <v>7.4166666666666696</v>
      </c>
    </row>
    <row r="31" spans="2:15" ht="15.75" customHeight="1">
      <c r="B31" s="335" t="str">
        <f t="shared" si="0"/>
        <v/>
      </c>
      <c r="C31" s="320">
        <f t="shared" si="1"/>
        <v>0</v>
      </c>
      <c r="D31" s="189">
        <f t="shared" si="6"/>
        <v>35812</v>
      </c>
      <c r="E31" s="218" t="str">
        <f t="shared" si="2"/>
        <v>Fre</v>
      </c>
      <c r="F31" s="191">
        <f t="shared" si="7"/>
        <v>8</v>
      </c>
      <c r="G31" s="312">
        <v>0.3125</v>
      </c>
      <c r="H31" s="312">
        <v>0.5</v>
      </c>
      <c r="I31" s="312">
        <v>0.52083333333333337</v>
      </c>
      <c r="J31" s="312">
        <v>0.70833333333333337</v>
      </c>
      <c r="K31" s="313"/>
      <c r="L31" s="196"/>
      <c r="M31" s="195" t="str">
        <f t="shared" ca="1" si="3"/>
        <v/>
      </c>
      <c r="N31" s="196">
        <f t="shared" ca="1" si="4"/>
        <v>9</v>
      </c>
      <c r="O31" s="196">
        <f t="shared" ca="1" si="5"/>
        <v>9</v>
      </c>
    </row>
    <row r="32" spans="2:15" ht="15.75" customHeight="1">
      <c r="B32" s="335" t="str">
        <f t="shared" si="0"/>
        <v/>
      </c>
      <c r="C32" s="320">
        <f t="shared" si="1"/>
        <v>0</v>
      </c>
      <c r="D32" s="181">
        <f t="shared" si="6"/>
        <v>35813</v>
      </c>
      <c r="E32" s="219" t="str">
        <f t="shared" si="2"/>
        <v>Lör</v>
      </c>
      <c r="F32" s="183">
        <f t="shared" si="7"/>
        <v>0</v>
      </c>
      <c r="G32" s="207"/>
      <c r="H32" s="207"/>
      <c r="I32" s="207"/>
      <c r="J32" s="207"/>
      <c r="K32" s="208"/>
      <c r="L32" s="188"/>
      <c r="M32" s="187" t="str">
        <f t="shared" ca="1" si="3"/>
        <v/>
      </c>
      <c r="N32" s="188">
        <f t="shared" ca="1" si="4"/>
        <v>0</v>
      </c>
      <c r="O32" s="188">
        <f t="shared" ca="1" si="5"/>
        <v>0</v>
      </c>
    </row>
    <row r="33" spans="1:15" ht="15.75" customHeight="1">
      <c r="B33" s="335" t="str">
        <f t="shared" si="0"/>
        <v/>
      </c>
      <c r="C33" s="320">
        <f t="shared" si="1"/>
        <v>0</v>
      </c>
      <c r="D33" s="189">
        <f t="shared" si="6"/>
        <v>35814</v>
      </c>
      <c r="E33" s="218" t="str">
        <f t="shared" si="2"/>
        <v>Sön</v>
      </c>
      <c r="F33" s="191">
        <f t="shared" si="7"/>
        <v>0</v>
      </c>
      <c r="G33" s="312"/>
      <c r="H33" s="312"/>
      <c r="I33" s="312"/>
      <c r="J33" s="312"/>
      <c r="K33" s="313"/>
      <c r="L33" s="196"/>
      <c r="M33" s="195" t="str">
        <f t="shared" ca="1" si="3"/>
        <v/>
      </c>
      <c r="N33" s="196">
        <f t="shared" ca="1" si="4"/>
        <v>0</v>
      </c>
      <c r="O33" s="196">
        <f t="shared" ca="1" si="5"/>
        <v>0</v>
      </c>
    </row>
    <row r="34" spans="1:15" ht="15.75" customHeight="1">
      <c r="B34" s="335" t="str">
        <f t="shared" si="0"/>
        <v/>
      </c>
      <c r="C34" s="320">
        <f t="shared" si="1"/>
        <v>0</v>
      </c>
      <c r="D34" s="181">
        <f t="shared" si="6"/>
        <v>35815</v>
      </c>
      <c r="E34" s="219" t="str">
        <f t="shared" si="2"/>
        <v>Mån</v>
      </c>
      <c r="F34" s="183">
        <f t="shared" si="7"/>
        <v>8</v>
      </c>
      <c r="G34" s="207">
        <v>0.3125</v>
      </c>
      <c r="H34" s="207">
        <v>0.48958333333333331</v>
      </c>
      <c r="I34" s="207">
        <v>0.52083333333333337</v>
      </c>
      <c r="J34" s="207">
        <v>0.6875</v>
      </c>
      <c r="K34" s="208"/>
      <c r="L34" s="188"/>
      <c r="M34" s="187" t="str">
        <f t="shared" ca="1" si="3"/>
        <v/>
      </c>
      <c r="N34" s="188">
        <f t="shared" ca="1" si="4"/>
        <v>8.25</v>
      </c>
      <c r="O34" s="188">
        <f t="shared" ca="1" si="5"/>
        <v>8.25</v>
      </c>
    </row>
    <row r="35" spans="1:15" ht="15.75" customHeight="1">
      <c r="B35" s="335" t="str">
        <f t="shared" si="0"/>
        <v/>
      </c>
      <c r="C35" s="320">
        <f t="shared" si="1"/>
        <v>0</v>
      </c>
      <c r="D35" s="189">
        <f t="shared" si="6"/>
        <v>35816</v>
      </c>
      <c r="E35" s="218" t="str">
        <f t="shared" si="2"/>
        <v>Tis</v>
      </c>
      <c r="F35" s="191">
        <f t="shared" si="7"/>
        <v>8</v>
      </c>
      <c r="G35" s="312">
        <v>0.3125</v>
      </c>
      <c r="H35" s="312">
        <v>0.5</v>
      </c>
      <c r="I35" s="312">
        <v>0.52083333333333337</v>
      </c>
      <c r="J35" s="312">
        <v>0.70833333333333337</v>
      </c>
      <c r="K35" s="313"/>
      <c r="L35" s="196"/>
      <c r="M35" s="195" t="str">
        <f t="shared" ca="1" si="3"/>
        <v/>
      </c>
      <c r="N35" s="196">
        <f t="shared" ca="1" si="4"/>
        <v>9</v>
      </c>
      <c r="O35" s="196">
        <f t="shared" ca="1" si="5"/>
        <v>9</v>
      </c>
    </row>
    <row r="36" spans="1:15" ht="15.75" customHeight="1">
      <c r="B36" s="335" t="str">
        <f t="shared" si="0"/>
        <v/>
      </c>
      <c r="C36" s="320">
        <f t="shared" si="1"/>
        <v>0</v>
      </c>
      <c r="D36" s="181">
        <f t="shared" si="6"/>
        <v>35817</v>
      </c>
      <c r="E36" s="219" t="str">
        <f t="shared" si="2"/>
        <v>Ons</v>
      </c>
      <c r="F36" s="183">
        <f t="shared" si="7"/>
        <v>8</v>
      </c>
      <c r="G36" s="207">
        <v>0.39583333333333331</v>
      </c>
      <c r="H36" s="207">
        <v>0.51041666666666663</v>
      </c>
      <c r="I36" s="207">
        <v>0.53125</v>
      </c>
      <c r="J36" s="207">
        <v>0.6875</v>
      </c>
      <c r="K36" s="208"/>
      <c r="L36" s="188" t="s">
        <v>104</v>
      </c>
      <c r="M36" s="187" t="str">
        <f t="shared" ca="1" si="3"/>
        <v/>
      </c>
      <c r="N36" s="188">
        <f t="shared" ca="1" si="4"/>
        <v>6.5</v>
      </c>
      <c r="O36" s="188">
        <f t="shared" ca="1" si="5"/>
        <v>6.5</v>
      </c>
    </row>
    <row r="37" spans="1:15" ht="15.75" customHeight="1">
      <c r="B37" s="335" t="str">
        <f t="shared" si="0"/>
        <v/>
      </c>
      <c r="C37" s="320" t="e">
        <f t="shared" ca="1" si="1"/>
        <v>#N/A</v>
      </c>
      <c r="D37" s="189">
        <f t="shared" si="6"/>
        <v>35818</v>
      </c>
      <c r="E37" s="218" t="str">
        <f t="shared" si="2"/>
        <v>Tor</v>
      </c>
      <c r="F37" s="191">
        <f t="shared" si="7"/>
        <v>8</v>
      </c>
      <c r="G37" s="312"/>
      <c r="H37" s="312"/>
      <c r="I37" s="312"/>
      <c r="J37" s="312"/>
      <c r="K37" s="313" t="s">
        <v>107</v>
      </c>
      <c r="L37" s="196" t="s">
        <v>106</v>
      </c>
      <c r="M37" s="195" t="str">
        <f t="shared" ca="1" si="3"/>
        <v/>
      </c>
      <c r="N37" s="196">
        <f t="shared" ca="1" si="4"/>
        <v>8</v>
      </c>
      <c r="O37" s="196">
        <f t="shared" ca="1" si="5"/>
        <v>8</v>
      </c>
    </row>
    <row r="38" spans="1:15" ht="15.75" customHeight="1">
      <c r="B38" s="335" t="str">
        <f t="shared" si="0"/>
        <v/>
      </c>
      <c r="C38" s="320">
        <f t="shared" si="1"/>
        <v>0</v>
      </c>
      <c r="D38" s="181">
        <f t="shared" si="6"/>
        <v>35819</v>
      </c>
      <c r="E38" s="219" t="str">
        <f t="shared" si="2"/>
        <v>Fre</v>
      </c>
      <c r="F38" s="183">
        <f t="shared" si="7"/>
        <v>8</v>
      </c>
      <c r="G38" s="207"/>
      <c r="H38" s="207"/>
      <c r="I38" s="207"/>
      <c r="J38" s="207"/>
      <c r="K38" s="208"/>
      <c r="L38" s="188" t="s">
        <v>108</v>
      </c>
      <c r="M38" s="187" t="str">
        <f t="shared" ca="1" si="3"/>
        <v/>
      </c>
      <c r="N38" s="188">
        <f t="shared" ca="1" si="4"/>
        <v>0</v>
      </c>
      <c r="O38" s="188">
        <f t="shared" ca="1" si="5"/>
        <v>0</v>
      </c>
    </row>
    <row r="39" spans="1:15" ht="15.75" customHeight="1">
      <c r="B39" s="335" t="str">
        <f t="shared" si="0"/>
        <v/>
      </c>
      <c r="C39" s="320">
        <f t="shared" si="1"/>
        <v>0</v>
      </c>
      <c r="D39" s="189">
        <f t="shared" si="6"/>
        <v>35820</v>
      </c>
      <c r="E39" s="218" t="str">
        <f t="shared" si="2"/>
        <v>Lör</v>
      </c>
      <c r="F39" s="191">
        <f t="shared" si="7"/>
        <v>0</v>
      </c>
      <c r="G39" s="312"/>
      <c r="H39" s="312"/>
      <c r="I39" s="312"/>
      <c r="J39" s="312"/>
      <c r="K39" s="313"/>
      <c r="L39" s="196"/>
      <c r="M39" s="195" t="str">
        <f t="shared" ca="1" si="3"/>
        <v/>
      </c>
      <c r="N39" s="196">
        <f t="shared" ca="1" si="4"/>
        <v>0</v>
      </c>
      <c r="O39" s="196">
        <f t="shared" ca="1" si="5"/>
        <v>0</v>
      </c>
    </row>
    <row r="40" spans="1:15" ht="15.75" customHeight="1">
      <c r="B40" s="335" t="str">
        <f t="shared" si="0"/>
        <v/>
      </c>
      <c r="C40" s="320">
        <f t="shared" si="1"/>
        <v>0</v>
      </c>
      <c r="D40" s="181">
        <f t="shared" si="6"/>
        <v>35821</v>
      </c>
      <c r="E40" s="219" t="str">
        <f t="shared" si="2"/>
        <v>Sön</v>
      </c>
      <c r="F40" s="183">
        <f t="shared" si="7"/>
        <v>0</v>
      </c>
      <c r="G40" s="207"/>
      <c r="H40" s="207"/>
      <c r="I40" s="207"/>
      <c r="J40" s="207"/>
      <c r="K40" s="208"/>
      <c r="L40" s="188"/>
      <c r="M40" s="187" t="str">
        <f t="shared" ca="1" si="3"/>
        <v/>
      </c>
      <c r="N40" s="188">
        <f t="shared" ca="1" si="4"/>
        <v>0</v>
      </c>
      <c r="O40" s="188">
        <f t="shared" ca="1" si="5"/>
        <v>0</v>
      </c>
    </row>
    <row r="41" spans="1:15" ht="15.75" customHeight="1">
      <c r="B41" s="335" t="str">
        <f t="shared" si="0"/>
        <v/>
      </c>
      <c r="C41" s="320">
        <f t="shared" si="1"/>
        <v>0</v>
      </c>
      <c r="D41" s="189">
        <f t="shared" si="6"/>
        <v>35822</v>
      </c>
      <c r="E41" s="218" t="str">
        <f t="shared" si="2"/>
        <v>Mån</v>
      </c>
      <c r="F41" s="191">
        <f t="shared" si="7"/>
        <v>8</v>
      </c>
      <c r="G41" s="312">
        <v>0.3125</v>
      </c>
      <c r="H41" s="312">
        <v>0.5</v>
      </c>
      <c r="I41" s="312">
        <v>0.52083333333333337</v>
      </c>
      <c r="J41" s="312">
        <v>0.70833333333333337</v>
      </c>
      <c r="K41" s="313"/>
      <c r="L41" s="196"/>
      <c r="M41" s="195" t="str">
        <f t="shared" ca="1" si="3"/>
        <v/>
      </c>
      <c r="N41" s="196">
        <f t="shared" ca="1" si="4"/>
        <v>9</v>
      </c>
      <c r="O41" s="196">
        <f t="shared" ca="1" si="5"/>
        <v>9</v>
      </c>
    </row>
    <row r="42" spans="1:15" ht="15.75" customHeight="1">
      <c r="B42" s="335" t="str">
        <f t="shared" si="0"/>
        <v/>
      </c>
      <c r="C42" s="320">
        <f t="shared" si="1"/>
        <v>0</v>
      </c>
      <c r="D42" s="181">
        <f t="shared" si="6"/>
        <v>35823</v>
      </c>
      <c r="E42" s="219" t="str">
        <f t="shared" si="2"/>
        <v>Tis</v>
      </c>
      <c r="F42" s="183">
        <f t="shared" si="7"/>
        <v>8</v>
      </c>
      <c r="G42" s="207">
        <v>0.3125</v>
      </c>
      <c r="H42" s="207">
        <v>0.48958333333333331</v>
      </c>
      <c r="I42" s="207">
        <v>0.52083333333333337</v>
      </c>
      <c r="J42" s="207">
        <v>0.6875</v>
      </c>
      <c r="K42" s="208"/>
      <c r="L42" s="188"/>
      <c r="M42" s="187" t="str">
        <f t="shared" ca="1" si="3"/>
        <v/>
      </c>
      <c r="N42" s="188">
        <f t="shared" ca="1" si="4"/>
        <v>8.25</v>
      </c>
      <c r="O42" s="188">
        <f t="shared" ca="1" si="5"/>
        <v>8.25</v>
      </c>
    </row>
    <row r="43" spans="1:15" ht="15.75" customHeight="1">
      <c r="B43" s="335" t="str">
        <f t="shared" si="0"/>
        <v/>
      </c>
      <c r="C43" s="320">
        <f t="shared" si="1"/>
        <v>0</v>
      </c>
      <c r="D43" s="189">
        <f t="shared" si="6"/>
        <v>35824</v>
      </c>
      <c r="E43" s="218" t="str">
        <f t="shared" si="2"/>
        <v>Ons</v>
      </c>
      <c r="F43" s="191">
        <f t="shared" si="7"/>
        <v>8</v>
      </c>
      <c r="G43" s="312"/>
      <c r="H43" s="312"/>
      <c r="I43" s="312"/>
      <c r="J43" s="312"/>
      <c r="K43" s="313"/>
      <c r="L43" s="196" t="s">
        <v>105</v>
      </c>
      <c r="M43" s="195" t="str">
        <f t="shared" ca="1" si="3"/>
        <v/>
      </c>
      <c r="N43" s="196">
        <f t="shared" ca="1" si="4"/>
        <v>8</v>
      </c>
      <c r="O43" s="196">
        <f t="shared" ca="1" si="5"/>
        <v>8</v>
      </c>
    </row>
    <row r="44" spans="1:15" ht="15.75" customHeight="1">
      <c r="B44" s="335" t="str">
        <f t="shared" si="0"/>
        <v/>
      </c>
      <c r="C44" s="320">
        <f t="shared" si="1"/>
        <v>0</v>
      </c>
      <c r="D44" s="45">
        <f t="shared" si="6"/>
        <v>35825</v>
      </c>
      <c r="E44" s="46" t="str">
        <f t="shared" si="2"/>
        <v>Tor</v>
      </c>
      <c r="F44" s="47">
        <f t="shared" si="7"/>
        <v>8</v>
      </c>
      <c r="G44" s="92"/>
      <c r="H44" s="92"/>
      <c r="I44" s="92"/>
      <c r="J44" s="93"/>
      <c r="K44" s="103"/>
      <c r="L44" s="91" t="s">
        <v>105</v>
      </c>
      <c r="M44" s="50" t="str">
        <f t="shared" ca="1" si="3"/>
        <v/>
      </c>
      <c r="N44" s="91">
        <f t="shared" ca="1" si="4"/>
        <v>8</v>
      </c>
      <c r="O44" s="91">
        <f t="shared" ca="1" si="5"/>
        <v>8</v>
      </c>
    </row>
    <row r="45" spans="1:15" ht="15.75" customHeight="1" thickBot="1">
      <c r="A45" s="30"/>
      <c r="B45" s="17"/>
      <c r="C45" s="336"/>
      <c r="D45" s="80"/>
      <c r="E45" s="80"/>
      <c r="F45" s="80"/>
      <c r="G45" s="81"/>
      <c r="H45" s="80"/>
      <c r="I45" s="80"/>
      <c r="J45" s="80"/>
      <c r="K45" s="80"/>
      <c r="L45" s="80"/>
      <c r="M45" s="80"/>
      <c r="N45" s="80"/>
      <c r="O45" s="80"/>
    </row>
    <row r="46" spans="1:15" ht="12.9">
      <c r="A46" s="548" t="str">
        <f>Felinfo!H10</f>
        <v>Flex 99:03C • huk-51 • ©</v>
      </c>
      <c r="C46" s="314"/>
      <c r="D46" s="51" t="str">
        <f ca="1">"Summa arbetad tid"&amp;IF(MONTH(D14)=MONTH(TODAY())," t o m ""i dag""","")</f>
        <v>Summa arbetad tid</v>
      </c>
      <c r="E46" s="52"/>
      <c r="F46" s="52"/>
      <c r="G46" s="53"/>
      <c r="H46" s="53"/>
      <c r="I46" s="53"/>
      <c r="J46" s="53"/>
      <c r="K46" s="54"/>
      <c r="L46" s="52"/>
      <c r="M46" s="55"/>
      <c r="N46" s="55"/>
      <c r="O46" s="197">
        <f ca="1">IF(TODAY()&gt;=D14,SUMIF(O14:O44,"&gt;0"),0)</f>
        <v>172.08333333333334</v>
      </c>
    </row>
    <row r="47" spans="1:15" ht="14.25" customHeight="1">
      <c r="A47" s="549"/>
      <c r="C47" s="314"/>
      <c r="D47" s="56" t="str">
        <f ca="1">IF(MONTH(D14)=MONTH(TODAY()),"Månadens normalarbetstid t o m idag","Normalarbetstid för månaden")&amp;IF(AND(MONTH(TODAY())&gt;=MONTH(D14),K8&lt;&gt;1)," (normtid "&amp;SUM(F14:F44)&amp;" tim * tjänsteomfattning "&amp;TEXT(K8*1000,"## %)"),"")</f>
        <v>Normalarbetstid för månaden</v>
      </c>
      <c r="E47" s="17"/>
      <c r="F47" s="17"/>
      <c r="G47" s="57"/>
      <c r="H47" s="57"/>
      <c r="I47" s="57"/>
      <c r="J47" s="57"/>
      <c r="L47" s="59"/>
      <c r="M47" s="60"/>
      <c r="N47" s="60"/>
      <c r="O47" s="198">
        <f ca="1">IF(AND(TODAY()&gt;=D14,MONTH(D14)&gt;=MONTH(Grunddata!C22)),SUM(F14:F44)*K8,0)</f>
        <v>176</v>
      </c>
    </row>
    <row r="48" spans="1:15" ht="14.25" customHeight="1">
      <c r="A48" s="549"/>
      <c r="C48" s="314"/>
      <c r="D48" s="56" t="s">
        <v>35</v>
      </c>
      <c r="E48" s="17"/>
      <c r="F48" s="17"/>
      <c r="G48" s="57"/>
      <c r="I48" s="62"/>
      <c r="J48" s="63"/>
      <c r="K48" s="63"/>
      <c r="L48" s="63"/>
      <c r="M48" s="64"/>
      <c r="N48" s="64"/>
      <c r="O48" s="308">
        <v>35.5</v>
      </c>
    </row>
    <row r="49" spans="1:15" s="1" customFormat="1" ht="14.25" customHeight="1">
      <c r="A49" s="549"/>
      <c r="B49" s="26"/>
      <c r="C49" s="28"/>
      <c r="D49" s="56" t="str">
        <f>IF(tjänst=1,"Över","Mer")&amp;"tidsersättning utbetalad med "&amp;TEXT(D14,"MMMM")&amp;"lönen"</f>
        <v>Övertidsersättning utbetalad med januarilönen</v>
      </c>
      <c r="E49" s="17"/>
      <c r="F49" s="17"/>
      <c r="G49" s="57"/>
      <c r="H49" s="61"/>
      <c r="I49" s="62"/>
      <c r="J49" s="63"/>
      <c r="K49" s="63"/>
      <c r="L49" s="63"/>
      <c r="M49" s="64"/>
      <c r="N49" s="64"/>
      <c r="O49" s="309">
        <v>25</v>
      </c>
    </row>
    <row r="50" spans="1:15" s="1" customFormat="1" ht="14.25" customHeight="1">
      <c r="A50" s="549"/>
      <c r="B50" s="26"/>
      <c r="C50" s="28"/>
      <c r="D50" s="65" t="str">
        <f ca="1">IF(MONTH(D14)=MONTH(TODAY()),"Dagens saldo +/-","Nytt saldo +/-")</f>
        <v>Nytt saldo +/-</v>
      </c>
      <c r="E50" s="66"/>
      <c r="F50" s="66"/>
      <c r="G50" s="67"/>
      <c r="H50" s="68"/>
      <c r="I50" s="69"/>
      <c r="J50" s="69"/>
      <c r="K50" s="69"/>
      <c r="L50" s="69"/>
      <c r="M50" s="70"/>
      <c r="N50" s="70"/>
      <c r="O50" s="308">
        <f ca="1">IF(TODAY()&gt;=D14,O46-O47+O48-O49,0)</f>
        <v>6.5833333333333428</v>
      </c>
    </row>
    <row r="51" spans="1:15" ht="14.25" customHeight="1" thickBot="1">
      <c r="A51" s="549"/>
      <c r="C51" s="314"/>
      <c r="D51" s="305" t="s">
        <v>29</v>
      </c>
      <c r="E51" s="72"/>
      <c r="F51" s="72"/>
      <c r="G51" s="73"/>
      <c r="H51" s="74" t="str">
        <f ca="1">IF(I51&gt;0,"månadens: ",)</f>
        <v xml:space="preserve">månadens: </v>
      </c>
      <c r="I51" s="75">
        <f ca="1">SUM(M14:M44)</f>
        <v>1</v>
      </c>
      <c r="J51" s="76">
        <f ca="1">IF(K51&gt;0,"årets: ",)</f>
        <v>0</v>
      </c>
      <c r="K51" s="75">
        <f ca="1">'2024'!K14</f>
        <v>0</v>
      </c>
      <c r="L51" s="77" t="str">
        <f ca="1">"  kvarstående:  "&amp;IF(Grunddata!H18&gt;0,Grunddata!H18-I51,32-I51)</f>
        <v xml:space="preserve">  kvarstående:  31</v>
      </c>
      <c r="M51" s="78"/>
      <c r="N51" s="78"/>
      <c r="O51" s="79"/>
    </row>
    <row r="52" spans="1:15" ht="12" customHeight="1">
      <c r="A52" s="549"/>
      <c r="C52" s="314"/>
      <c r="D52" s="51" t="s">
        <v>75</v>
      </c>
      <c r="E52" s="338"/>
      <c r="F52" s="338"/>
      <c r="G52" s="339"/>
      <c r="H52" s="340" t="s">
        <v>27</v>
      </c>
      <c r="I52" s="341"/>
      <c r="J52" s="341"/>
      <c r="K52" s="342"/>
      <c r="L52" s="343"/>
      <c r="M52" s="344"/>
      <c r="N52" s="344"/>
      <c r="O52" s="345"/>
    </row>
    <row r="53" spans="1:15" ht="27.75" customHeight="1" thickBot="1">
      <c r="A53" s="549"/>
      <c r="D53" s="346"/>
      <c r="E53" s="347"/>
      <c r="F53" s="347"/>
      <c r="G53" s="348"/>
      <c r="H53" s="349"/>
      <c r="I53" s="349"/>
      <c r="J53" s="349"/>
      <c r="K53" s="350"/>
      <c r="L53" s="351"/>
      <c r="M53" s="352"/>
      <c r="N53" s="352"/>
      <c r="O53" s="353"/>
    </row>
    <row r="54" spans="1:15" ht="12" customHeight="1" thickBot="1">
      <c r="A54" s="337"/>
    </row>
    <row r="55" spans="1:15" ht="12" customHeight="1">
      <c r="A55" s="337"/>
      <c r="D55" s="355" t="s">
        <v>19</v>
      </c>
      <c r="E55" s="355"/>
      <c r="F55" s="125"/>
      <c r="G55" s="51" t="s">
        <v>75</v>
      </c>
      <c r="H55" s="339"/>
      <c r="I55" s="340" t="s">
        <v>26</v>
      </c>
      <c r="J55" s="341"/>
      <c r="K55" s="342"/>
      <c r="L55" s="343"/>
      <c r="M55" s="344"/>
      <c r="N55" s="344"/>
      <c r="O55" s="356"/>
    </row>
    <row r="56" spans="1:15" ht="27.75" customHeight="1" thickBot="1">
      <c r="A56" s="337"/>
      <c r="F56" s="125"/>
      <c r="G56" s="357"/>
      <c r="H56" s="358"/>
      <c r="I56" s="349"/>
      <c r="J56" s="349"/>
      <c r="K56" s="350"/>
      <c r="L56" s="351"/>
      <c r="M56" s="352"/>
      <c r="N56" s="352"/>
      <c r="O56" s="353"/>
    </row>
    <row r="59" spans="1:15" s="17" customFormat="1">
      <c r="A59" s="284"/>
      <c r="B59" s="318"/>
      <c r="C59" s="318"/>
      <c r="G59" s="57"/>
      <c r="H59" s="57"/>
      <c r="I59" s="57"/>
      <c r="J59" s="57"/>
      <c r="K59" s="359"/>
      <c r="M59" s="64"/>
      <c r="N59" s="64"/>
    </row>
    <row r="60" spans="1:15" s="17" customFormat="1">
      <c r="A60" s="284"/>
      <c r="B60" s="318"/>
      <c r="C60" s="318"/>
      <c r="D60" s="360"/>
      <c r="G60" s="57"/>
      <c r="H60" s="57"/>
      <c r="I60" s="57"/>
      <c r="J60" s="57"/>
      <c r="K60" s="359"/>
      <c r="M60" s="64"/>
      <c r="N60" s="64"/>
    </row>
    <row r="61" spans="1:15" s="17" customFormat="1">
      <c r="A61" s="284"/>
      <c r="B61" s="318"/>
      <c r="C61" s="318"/>
      <c r="G61" s="57"/>
      <c r="H61" s="57"/>
      <c r="I61" s="57"/>
      <c r="J61" s="57"/>
      <c r="K61" s="359"/>
      <c r="M61" s="64"/>
      <c r="N61" s="64"/>
    </row>
    <row r="62" spans="1:15" s="17" customFormat="1">
      <c r="A62" s="284"/>
      <c r="B62" s="318"/>
      <c r="C62" s="318"/>
      <c r="G62" s="57"/>
      <c r="H62" s="57"/>
      <c r="I62" s="57"/>
      <c r="J62" s="57"/>
      <c r="K62" s="359"/>
      <c r="M62" s="64"/>
      <c r="N62" s="64"/>
    </row>
  </sheetData>
  <sheetProtection password="C38D" sheet="1" objects="1" scenarios="1"/>
  <mergeCells count="4">
    <mergeCell ref="D12:E12"/>
    <mergeCell ref="G12:L12"/>
    <mergeCell ref="D13:G13"/>
    <mergeCell ref="A46:A53"/>
  </mergeCells>
  <phoneticPr fontId="0" type="noConversion"/>
  <conditionalFormatting sqref="A14">
    <cfRule type="cellIs" dxfId="28" priority="3" stopIfTrue="1" operator="greaterThan">
      <formula>0</formula>
    </cfRule>
  </conditionalFormatting>
  <conditionalFormatting sqref="H45 J48 I49">
    <cfRule type="cellIs" dxfId="27" priority="1" stopIfTrue="1" operator="greaterThan">
      <formula>0</formula>
    </cfRule>
  </conditionalFormatting>
  <conditionalFormatting sqref="K14:K44">
    <cfRule type="cellIs" dxfId="26" priority="4" stopIfTrue="1" operator="between">
      <formula>"-00:00"</formula>
      <formula>"0"</formula>
    </cfRule>
  </conditionalFormatting>
  <conditionalFormatting sqref="L14:L44">
    <cfRule type="cellIs" dxfId="25" priority="2" stopIfTrue="1" operator="between">
      <formula>"-"</formula>
      <formula>"0"</formula>
    </cfRule>
  </conditionalFormatting>
  <dataValidations count="1">
    <dataValidation allowBlank="1" showInputMessage="1" showErrorMessage="1" error="Timme och minut måste skiljas med_x000a_- kolon på pc_x000a_- punkt på Mac" sqref="I5 G14:J44" xr:uid="{00000000-0002-0000-0400-000000000000}"/>
  </dataValidations>
  <pageMargins left="0.70866141732283472" right="0.54" top="0.59055118110236227" bottom="0.43307086614173229" header="0.27559055118110237" footer="0.47244094488188981"/>
  <pageSetup paperSize="9" scale="93" orientation="portrait" blackAndWhite="1" horizontalDpi="300" verticalDpi="300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3">
    <pageSetUpPr fitToPage="1"/>
  </sheetPr>
  <dimension ref="A1:M47"/>
  <sheetViews>
    <sheetView showGridLines="0" showRowColHeaders="0" showZeros="0" topLeftCell="A4" zoomScale="90" workbookViewId="0">
      <selection activeCell="N18" sqref="N18"/>
    </sheetView>
  </sheetViews>
  <sheetFormatPr defaultColWidth="10.84375" defaultRowHeight="12.45"/>
  <cols>
    <col min="1" max="1" width="3.3828125" style="17" customWidth="1"/>
    <col min="2" max="2" width="6.84375" style="17" customWidth="1"/>
    <col min="3" max="3" width="13.84375" style="17" customWidth="1"/>
    <col min="4" max="5" width="9.84375" style="17" customWidth="1"/>
    <col min="6" max="6" width="10.84375" style="17" customWidth="1"/>
    <col min="7" max="7" width="11.84375" style="17" bestFit="1" customWidth="1"/>
    <col min="8" max="8" width="9.84375" style="17" customWidth="1"/>
    <col min="9" max="9" width="1" style="17" customWidth="1"/>
    <col min="10" max="12" width="7.15234375" style="17" customWidth="1"/>
    <col min="13" max="16384" width="10.84375" style="17"/>
  </cols>
  <sheetData>
    <row r="1" spans="2:13" s="18" customFormat="1" ht="33.75" customHeight="1">
      <c r="B1" s="19" t="str">
        <f>"Sammanställning av arbetstid år "&amp;årtal</f>
        <v>Sammanställning av arbetstid år 2024</v>
      </c>
      <c r="M1" s="289"/>
    </row>
    <row r="2" spans="2:13" s="21" customFormat="1" ht="21.75" customHeight="1">
      <c r="B2" s="21" t="str">
        <f ca="1">IF(YEAR(TODAY())&lt;årtal,"","- baserad på ställningen den "&amp;IF(TODAY()&lt;=DATE(årtal,12,31),TEXT(TODAY(),"D MMM"),"31 dec"))</f>
        <v/>
      </c>
    </row>
    <row r="3" spans="2:13" s="21" customFormat="1" ht="15" customHeight="1">
      <c r="B3" s="106" t="s">
        <v>170</v>
      </c>
      <c r="H3" s="503"/>
    </row>
    <row r="4" spans="2:13" s="21" customFormat="1" ht="21.75" customHeight="1"/>
    <row r="5" spans="2:13" s="107" customFormat="1" ht="16" customHeight="1">
      <c r="B5" s="106" t="s">
        <v>73</v>
      </c>
      <c r="D5" s="107" t="str">
        <f>IF(Grunddata!C16&lt;&gt;"",Grunddata!C16,"")</f>
        <v/>
      </c>
    </row>
    <row r="6" spans="2:13" s="107" customFormat="1" ht="15" customHeight="1">
      <c r="B6" s="106" t="s">
        <v>13</v>
      </c>
      <c r="D6" s="556">
        <f>Grunddata!C17</f>
        <v>0</v>
      </c>
      <c r="E6" s="549"/>
    </row>
    <row r="7" spans="2:13" s="107" customFormat="1" ht="15" customHeight="1">
      <c r="B7" s="106" t="s">
        <v>28</v>
      </c>
      <c r="D7" s="108">
        <f>tjänst</f>
        <v>1</v>
      </c>
    </row>
    <row r="8" spans="2:13" s="107" customFormat="1" ht="15" customHeight="1">
      <c r="B8" s="106" t="s">
        <v>32</v>
      </c>
      <c r="D8" s="108">
        <f>Grunddata!C20</f>
        <v>0</v>
      </c>
    </row>
    <row r="9" spans="2:13" s="107" customFormat="1" ht="15" customHeight="1">
      <c r="B9" s="106" t="s">
        <v>95</v>
      </c>
      <c r="C9" s="108"/>
      <c r="D9" s="362">
        <f>flyttsaldo</f>
        <v>0</v>
      </c>
    </row>
    <row r="10" spans="2:13" s="107" customFormat="1" ht="15" customHeight="1">
      <c r="B10" s="106" t="s">
        <v>154</v>
      </c>
      <c r="C10" s="108"/>
      <c r="D10" s="363">
        <f ca="1">G25</f>
        <v>0</v>
      </c>
      <c r="E10" s="504"/>
    </row>
    <row r="11" spans="2:13" ht="17.25" customHeight="1">
      <c r="B11" s="20"/>
      <c r="C11" s="505"/>
    </row>
    <row r="12" spans="2:13" s="393" customFormat="1" ht="11.6">
      <c r="C12" s="557" t="s">
        <v>124</v>
      </c>
      <c r="E12" s="395" t="s">
        <v>137</v>
      </c>
      <c r="F12" s="394"/>
      <c r="G12" s="550" t="s">
        <v>65</v>
      </c>
      <c r="H12" s="551"/>
      <c r="I12" s="396"/>
      <c r="J12" s="395"/>
      <c r="K12" s="395" t="s">
        <v>125</v>
      </c>
    </row>
    <row r="13" spans="2:13" s="395" customFormat="1" ht="15" customHeight="1">
      <c r="B13" s="397"/>
      <c r="C13" s="558"/>
      <c r="D13" s="398" t="s">
        <v>92</v>
      </c>
      <c r="E13" s="398" t="s">
        <v>93</v>
      </c>
      <c r="F13" s="398" t="s">
        <v>94</v>
      </c>
      <c r="G13" s="399" t="s">
        <v>131</v>
      </c>
      <c r="H13" s="552" t="s">
        <v>8</v>
      </c>
      <c r="I13" s="553"/>
      <c r="J13" s="400" t="s">
        <v>24</v>
      </c>
      <c r="K13" s="398" t="s">
        <v>25</v>
      </c>
      <c r="L13" s="397" t="s">
        <v>111</v>
      </c>
    </row>
    <row r="14" spans="2:13" ht="18" customHeight="1">
      <c r="C14" s="82" t="str">
        <f>PROPER(TEXT(JAN!H$14,"MMMM   "))</f>
        <v>Januari   </v>
      </c>
      <c r="D14" s="83">
        <f ca="1">JAN!$P$46</f>
        <v>0</v>
      </c>
      <c r="E14" s="83">
        <f ca="1">JAN!$P$47</f>
        <v>0</v>
      </c>
      <c r="F14" s="83">
        <f ca="1">IF(AND(D14&lt;&gt;"",E14&lt;&gt;""),D14-E14,"")</f>
        <v>0</v>
      </c>
      <c r="G14" s="109">
        <f ca="1">JAN!$P$50</f>
        <v>0</v>
      </c>
      <c r="H14" s="111">
        <f>Normtid!D$36*tjänst</f>
        <v>172</v>
      </c>
      <c r="I14" s="113"/>
      <c r="J14" s="86">
        <f ca="1">JAN!$L$51</f>
        <v>0</v>
      </c>
      <c r="K14" s="84">
        <f ca="1">J14</f>
        <v>0</v>
      </c>
      <c r="L14" s="85">
        <f ca="1">IF(startdag&lt;=DATE(årtal,1,1),Grunddata!$H$18-K14,"")</f>
        <v>0</v>
      </c>
    </row>
    <row r="15" spans="2:13" ht="15" customHeight="1">
      <c r="C15" s="82" t="str">
        <f>PROPER(TEXT(FEB!H$14,"MMMM   "))</f>
        <v>Februari   </v>
      </c>
      <c r="D15" s="83">
        <f ca="1">FEB!$P$46</f>
        <v>0</v>
      </c>
      <c r="E15" s="83">
        <f ca="1">FEB!$P$47</f>
        <v>0</v>
      </c>
      <c r="F15" s="83">
        <f ca="1">IF(AND(D15&lt;&gt;"",E15&lt;&gt;""),D15-E15,"")</f>
        <v>0</v>
      </c>
      <c r="G15" s="109">
        <f ca="1">FEB!$P$50</f>
        <v>0</v>
      </c>
      <c r="H15" s="111">
        <f>Normtid!G$36*tjänst</f>
        <v>168</v>
      </c>
      <c r="I15" s="113"/>
      <c r="J15" s="86">
        <f ca="1">FEB!$L$51</f>
        <v>0</v>
      </c>
      <c r="K15" s="84">
        <f ca="1">SUM(J$14:J15)</f>
        <v>0</v>
      </c>
      <c r="L15" s="85">
        <f ca="1">IF(startdag&lt;=DATE(årtal,2,1),Grunddata!$H$18-K15,"")</f>
        <v>0</v>
      </c>
    </row>
    <row r="16" spans="2:13" ht="15" customHeight="1">
      <c r="C16" s="82" t="str">
        <f>PROPER(TEXT(MARS!H$14,"MMMM   "))</f>
        <v>Mars   </v>
      </c>
      <c r="D16" s="83">
        <f ca="1">MARS!$P$46</f>
        <v>0</v>
      </c>
      <c r="E16" s="83">
        <f ca="1">MARS!$P$47</f>
        <v>0</v>
      </c>
      <c r="F16" s="83">
        <f ca="1">IF(AND(D16&lt;&gt;"",E16&lt;&gt;""),D16-E16,"")</f>
        <v>0</v>
      </c>
      <c r="G16" s="109">
        <f ca="1">MARS!$P$50</f>
        <v>0</v>
      </c>
      <c r="H16" s="111">
        <f>Normtid!J$36*tjänst</f>
        <v>158</v>
      </c>
      <c r="I16" s="113"/>
      <c r="J16" s="86">
        <f ca="1">MARS!$L$51</f>
        <v>0</v>
      </c>
      <c r="K16" s="84">
        <f ca="1">SUM(J$14:J16)</f>
        <v>0</v>
      </c>
      <c r="L16" s="85">
        <f ca="1">IF(startdag&lt;=DATE(årtal,3,1),Grunddata!$H$18-K16,"")</f>
        <v>0</v>
      </c>
    </row>
    <row r="17" spans="1:12" ht="15" customHeight="1">
      <c r="C17" s="82" t="str">
        <f>PROPER(TEXT(APRIL!H$14,"MMMM   "))</f>
        <v>April   </v>
      </c>
      <c r="D17" s="83">
        <f ca="1">APRIL!$P$46</f>
        <v>0</v>
      </c>
      <c r="E17" s="83">
        <f ca="1">APRIL!$P$47</f>
        <v>0</v>
      </c>
      <c r="F17" s="83">
        <f t="shared" ref="F17:F25" ca="1" si="0">IF(AND(D17&lt;&gt;"",E17&lt;&gt;""),D17-E17,"")</f>
        <v>0</v>
      </c>
      <c r="G17" s="109">
        <f ca="1">APRIL!$P$50</f>
        <v>0</v>
      </c>
      <c r="H17" s="111">
        <f>Normtid!M$36*tjänst</f>
        <v>166</v>
      </c>
      <c r="I17" s="113"/>
      <c r="J17" s="86">
        <f ca="1">APRIL!$L$51</f>
        <v>0</v>
      </c>
      <c r="K17" s="84">
        <f ca="1">SUM(J$14:J17)</f>
        <v>0</v>
      </c>
      <c r="L17" s="85">
        <f ca="1">IF(startdag&lt;=DATE(årtal,4,1),Grunddata!$H$18-K17,"")</f>
        <v>0</v>
      </c>
    </row>
    <row r="18" spans="1:12" ht="15" customHeight="1">
      <c r="C18" s="82" t="str">
        <f>PROPER(TEXT(MAJ!H$14,"MMMM   "))</f>
        <v>Maj   </v>
      </c>
      <c r="D18" s="83">
        <f ca="1">MAJ!$P$46</f>
        <v>0</v>
      </c>
      <c r="E18" s="83">
        <f ca="1">MAJ!$P$47</f>
        <v>0</v>
      </c>
      <c r="F18" s="83">
        <f t="shared" ca="1" si="0"/>
        <v>0</v>
      </c>
      <c r="G18" s="109">
        <f ca="1">MAJ!$P$50</f>
        <v>0</v>
      </c>
      <c r="H18" s="111">
        <f>Normtid!P$36*tjänst</f>
        <v>160</v>
      </c>
      <c r="I18" s="113"/>
      <c r="J18" s="86">
        <f ca="1">MAJ!$L$51</f>
        <v>0</v>
      </c>
      <c r="K18" s="84">
        <f ca="1">SUM(J$14:J18)</f>
        <v>0</v>
      </c>
      <c r="L18" s="85">
        <f ca="1">IF(startdag&lt;=DATE(årtal,5,1),Grunddata!$H$18-K18,"")</f>
        <v>0</v>
      </c>
    </row>
    <row r="19" spans="1:12" ht="15" customHeight="1">
      <c r="C19" s="82" t="str">
        <f>PROPER(TEXT(JUNI!H$14,"MMMM   "))</f>
        <v>Juni   </v>
      </c>
      <c r="D19" s="83">
        <f ca="1">JUNI!$P$46</f>
        <v>0</v>
      </c>
      <c r="E19" s="83">
        <f ca="1">JUNI!$P$47</f>
        <v>0</v>
      </c>
      <c r="F19" s="83">
        <f t="shared" ca="1" si="0"/>
        <v>0</v>
      </c>
      <c r="G19" s="109">
        <f ca="1">JUNI!$P$50</f>
        <v>0</v>
      </c>
      <c r="H19" s="111">
        <f>Normtid!S$36*tjänst</f>
        <v>136</v>
      </c>
      <c r="I19" s="113"/>
      <c r="J19" s="86">
        <f ca="1">JUNI!$L$51</f>
        <v>0</v>
      </c>
      <c r="K19" s="84">
        <f ca="1">SUM(J$14:J19)</f>
        <v>0</v>
      </c>
      <c r="L19" s="85">
        <f ca="1">IF(startdag&lt;=DATE(årtal,6,1),Grunddata!$H$18-K19,"")</f>
        <v>0</v>
      </c>
    </row>
    <row r="20" spans="1:12" ht="15" customHeight="1">
      <c r="A20" s="554" t="str">
        <f>Felinfo!H9</f>
        <v>Flex 99:03B • huk-51 • ©</v>
      </c>
      <c r="C20" s="82" t="str">
        <f>PROPER(TEXT(JULI!H$14,"MMMM   "))</f>
        <v>Juli   </v>
      </c>
      <c r="D20" s="83">
        <f ca="1">JULI!$P$46</f>
        <v>0</v>
      </c>
      <c r="E20" s="83">
        <f ca="1">JULI!$P$47</f>
        <v>0</v>
      </c>
      <c r="F20" s="83">
        <f t="shared" ca="1" si="0"/>
        <v>0</v>
      </c>
      <c r="G20" s="109">
        <f ca="1">JULI!$P$50</f>
        <v>0</v>
      </c>
      <c r="H20" s="111">
        <f>Normtid!V$36*tjänst</f>
        <v>184</v>
      </c>
      <c r="I20" s="113"/>
      <c r="J20" s="86">
        <f ca="1">JULI!$L$51</f>
        <v>0</v>
      </c>
      <c r="K20" s="84">
        <f ca="1">SUM(J$14:J20)</f>
        <v>0</v>
      </c>
      <c r="L20" s="85">
        <f ca="1">IF(startdag&lt;=DATE(årtal,7,1),Grunddata!$H$18-K20,"")</f>
        <v>0</v>
      </c>
    </row>
    <row r="21" spans="1:12" ht="15" customHeight="1">
      <c r="A21" s="555"/>
      <c r="C21" s="82" t="str">
        <f>PROPER(TEXT(AUG!H$14,"MMMM   "))</f>
        <v>Augusti   </v>
      </c>
      <c r="D21" s="83">
        <f ca="1">AUG!$P$46</f>
        <v>0</v>
      </c>
      <c r="E21" s="83">
        <f ca="1">AUG!$P$47</f>
        <v>0</v>
      </c>
      <c r="F21" s="83">
        <f t="shared" ca="1" si="0"/>
        <v>0</v>
      </c>
      <c r="G21" s="109">
        <f ca="1">AUG!$P$50</f>
        <v>0</v>
      </c>
      <c r="H21" s="111">
        <f>Normtid!Y$36*tjänst</f>
        <v>176</v>
      </c>
      <c r="I21" s="113"/>
      <c r="J21" s="86">
        <f ca="1">AUG!$L$51</f>
        <v>0</v>
      </c>
      <c r="K21" s="84">
        <f ca="1">SUM(J$14:J21)</f>
        <v>0</v>
      </c>
      <c r="L21" s="85">
        <f ca="1">IF(startdag&lt;=DATE(årtal,8,1),Grunddata!$H$18-K21,"")</f>
        <v>0</v>
      </c>
    </row>
    <row r="22" spans="1:12" ht="15" customHeight="1">
      <c r="A22" s="555"/>
      <c r="C22" s="82" t="str">
        <f>PROPER(TEXT(SEP!H$14,"MMMM   "))</f>
        <v>September   </v>
      </c>
      <c r="D22" s="83">
        <f ca="1">SEP!$P$46</f>
        <v>0</v>
      </c>
      <c r="E22" s="83">
        <f ca="1">SEP!$P$47</f>
        <v>0</v>
      </c>
      <c r="F22" s="83">
        <f t="shared" ca="1" si="0"/>
        <v>0</v>
      </c>
      <c r="G22" s="109">
        <f ca="1">SEP!$P$50</f>
        <v>0</v>
      </c>
      <c r="H22" s="111">
        <f>Normtid!AB$36*tjänst</f>
        <v>168</v>
      </c>
      <c r="I22" s="113"/>
      <c r="J22" s="86">
        <f ca="1">SEP!$L$51</f>
        <v>0</v>
      </c>
      <c r="K22" s="84">
        <f ca="1">SUM(J$14:J22)</f>
        <v>0</v>
      </c>
      <c r="L22" s="85">
        <f ca="1">IF(startdag&lt;=DATE(årtal,9,1),Grunddata!$H$18-K22,"")</f>
        <v>0</v>
      </c>
    </row>
    <row r="23" spans="1:12" ht="15" customHeight="1">
      <c r="A23" s="555"/>
      <c r="C23" s="82" t="str">
        <f>PROPER(TEXT(OKT!H$14,"MMMM   "))</f>
        <v>Oktober   </v>
      </c>
      <c r="D23" s="83">
        <f ca="1">OKT!$P$46</f>
        <v>0</v>
      </c>
      <c r="E23" s="83">
        <f ca="1">OKT!$P$47</f>
        <v>0</v>
      </c>
      <c r="F23" s="83">
        <f t="shared" ca="1" si="0"/>
        <v>0</v>
      </c>
      <c r="G23" s="109">
        <f ca="1">OKT!$P$50</f>
        <v>0</v>
      </c>
      <c r="H23" s="111">
        <f>Normtid!AE$36*tjänst</f>
        <v>184</v>
      </c>
      <c r="I23" s="113"/>
      <c r="J23" s="86">
        <f ca="1">OKT!$L$51</f>
        <v>0</v>
      </c>
      <c r="K23" s="84">
        <f ca="1">SUM(J$14:J23)</f>
        <v>0</v>
      </c>
      <c r="L23" s="85">
        <f ca="1">IF(startdag&lt;=DATE(årtal,10,1),Grunddata!$H$18-K23,"")</f>
        <v>0</v>
      </c>
    </row>
    <row r="24" spans="1:12" ht="15" customHeight="1">
      <c r="A24" s="555"/>
      <c r="C24" s="82" t="str">
        <f>PROPER(TEXT(NOV!H$14,"MMMM   "))</f>
        <v>November   </v>
      </c>
      <c r="D24" s="83">
        <f ca="1">NOV!$P$46</f>
        <v>0</v>
      </c>
      <c r="E24" s="83">
        <f ca="1">NOV!$P$47</f>
        <v>0</v>
      </c>
      <c r="F24" s="83">
        <f t="shared" ca="1" si="0"/>
        <v>0</v>
      </c>
      <c r="G24" s="109">
        <f ca="1">NOV!$P$50</f>
        <v>0</v>
      </c>
      <c r="H24" s="111">
        <f>Normtid!AH$36*tjänst</f>
        <v>164</v>
      </c>
      <c r="I24" s="113"/>
      <c r="J24" s="86">
        <f ca="1">NOV!$L$51</f>
        <v>0</v>
      </c>
      <c r="K24" s="84">
        <f ca="1">SUM(J$14:J24)</f>
        <v>0</v>
      </c>
      <c r="L24" s="85">
        <f ca="1">IF(startdag&lt;=DATE(årtal,11,1),Grunddata!$H$18-K24,"")</f>
        <v>0</v>
      </c>
    </row>
    <row r="25" spans="1:12" ht="15" customHeight="1">
      <c r="A25" s="555"/>
      <c r="C25" s="87" t="str">
        <f>PROPER(TEXT(DEC!H$14,"MMMM   "))</f>
        <v>December   </v>
      </c>
      <c r="D25" s="88">
        <f ca="1">DEC!$P$46</f>
        <v>0</v>
      </c>
      <c r="E25" s="83">
        <f ca="1">DEC!$P$47</f>
        <v>0</v>
      </c>
      <c r="F25" s="88">
        <f t="shared" ca="1" si="0"/>
        <v>0</v>
      </c>
      <c r="G25" s="110">
        <f ca="1">DEC!$P$50</f>
        <v>0</v>
      </c>
      <c r="H25" s="111">
        <f>Normtid!AK$36*tjänst</f>
        <v>120</v>
      </c>
      <c r="I25" s="113"/>
      <c r="J25" s="86">
        <f ca="1">DEC!$L$51</f>
        <v>0</v>
      </c>
      <c r="K25" s="84">
        <f ca="1">SUM(J$14:J25)</f>
        <v>0</v>
      </c>
      <c r="L25" s="85">
        <f ca="1">IF(startdag&lt;=DATE(årtal,12,1),Grunddata!$H$18-K25,"")</f>
        <v>0</v>
      </c>
    </row>
    <row r="26" spans="1:12" s="21" customFormat="1" ht="18" customHeight="1">
      <c r="A26" s="555"/>
      <c r="B26" s="21" t="str">
        <f ca="1">"Årets summa"&amp;IF(YEAR(TODAY())=YEAR(Normtid!D1)," hittills: ",)</f>
        <v>Årets summa</v>
      </c>
      <c r="C26" s="22"/>
      <c r="D26" s="23">
        <f ca="1">SUM(D14:D25)</f>
        <v>0</v>
      </c>
      <c r="E26" s="24">
        <f ca="1">SUM(E14:E25)</f>
        <v>0</v>
      </c>
      <c r="F26" s="25"/>
      <c r="G26" s="25"/>
      <c r="H26" s="112">
        <f>SUM(H14:H25)</f>
        <v>1956</v>
      </c>
      <c r="I26" s="114"/>
      <c r="J26" s="21">
        <f ca="1">SUM(J14:J25)</f>
        <v>0</v>
      </c>
      <c r="K26" s="25"/>
      <c r="L26" s="89">
        <f ca="1">L25</f>
        <v>0</v>
      </c>
    </row>
    <row r="27" spans="1:12">
      <c r="A27" s="290"/>
    </row>
    <row r="28" spans="1:12">
      <c r="B28" s="66"/>
      <c r="C28" s="386"/>
      <c r="D28" s="386"/>
      <c r="E28" s="386"/>
      <c r="F28" s="386"/>
      <c r="G28" s="125"/>
      <c r="H28" s="125"/>
      <c r="I28" s="125"/>
    </row>
    <row r="29" spans="1:12" ht="14.15">
      <c r="B29" s="387" t="s">
        <v>132</v>
      </c>
      <c r="C29" s="125"/>
      <c r="D29" s="125"/>
      <c r="E29" s="125"/>
      <c r="F29" s="125"/>
      <c r="G29" s="125"/>
      <c r="H29" s="125"/>
      <c r="I29" s="125"/>
    </row>
    <row r="30" spans="1:12">
      <c r="C30" s="125"/>
      <c r="D30" s="125"/>
      <c r="E30" s="125"/>
      <c r="F30" s="125"/>
      <c r="G30" s="125"/>
      <c r="H30" s="125"/>
      <c r="I30" s="125"/>
    </row>
    <row r="31" spans="1:12">
      <c r="C31" s="125"/>
      <c r="D31" s="125"/>
      <c r="E31" s="125"/>
      <c r="F31" s="125"/>
      <c r="G31" s="125"/>
      <c r="H31" s="125"/>
      <c r="I31" s="125"/>
    </row>
    <row r="32" spans="1:12">
      <c r="C32" s="125"/>
      <c r="D32" s="125"/>
      <c r="E32" s="125"/>
      <c r="F32" s="125"/>
      <c r="G32" s="125"/>
      <c r="H32" s="125"/>
      <c r="I32" s="125"/>
    </row>
    <row r="33" spans="2:9">
      <c r="C33" s="125"/>
      <c r="D33" s="125"/>
      <c r="E33" s="125"/>
      <c r="F33" s="125"/>
      <c r="G33" s="125"/>
      <c r="H33" s="125"/>
      <c r="I33" s="125"/>
    </row>
    <row r="34" spans="2:9">
      <c r="C34" s="125"/>
      <c r="D34" s="125"/>
      <c r="E34" s="125"/>
      <c r="F34" s="125"/>
      <c r="G34" s="125"/>
      <c r="H34" s="125"/>
      <c r="I34" s="125"/>
    </row>
    <row r="35" spans="2:9">
      <c r="C35" s="125"/>
      <c r="D35" s="125"/>
      <c r="E35" s="125"/>
      <c r="F35" s="125"/>
      <c r="G35" s="125"/>
      <c r="H35" s="125"/>
      <c r="I35" s="125"/>
    </row>
    <row r="36" spans="2:9" s="291" customFormat="1">
      <c r="C36" s="292"/>
      <c r="D36" s="292"/>
      <c r="E36" s="292"/>
      <c r="F36" s="292"/>
      <c r="G36" s="292"/>
      <c r="H36" s="292"/>
      <c r="I36" s="292"/>
    </row>
    <row r="37" spans="2:9">
      <c r="B37" s="125"/>
      <c r="C37" s="125"/>
      <c r="D37" s="125"/>
      <c r="E37" s="125"/>
      <c r="F37" s="125"/>
      <c r="G37" s="125"/>
      <c r="H37" s="125"/>
      <c r="I37" s="125"/>
    </row>
    <row r="38" spans="2:9">
      <c r="B38" s="125"/>
      <c r="C38" s="125"/>
      <c r="D38" s="125"/>
      <c r="E38" s="125"/>
      <c r="F38" s="125"/>
      <c r="G38" s="125"/>
      <c r="H38" s="125"/>
      <c r="I38" s="125"/>
    </row>
    <row r="39" spans="2:9">
      <c r="B39" s="125"/>
      <c r="C39" s="125"/>
      <c r="D39" s="125"/>
      <c r="E39" s="125"/>
      <c r="F39" s="125"/>
      <c r="G39" s="125"/>
      <c r="H39" s="125"/>
      <c r="I39" s="125"/>
    </row>
    <row r="40" spans="2:9">
      <c r="B40" s="125"/>
      <c r="C40" s="125"/>
      <c r="D40" s="125"/>
      <c r="E40" s="125"/>
      <c r="F40" s="125"/>
      <c r="G40" s="125"/>
      <c r="H40" s="125"/>
      <c r="I40" s="125"/>
    </row>
    <row r="41" spans="2:9">
      <c r="B41" s="282"/>
    </row>
    <row r="42" spans="2:9" ht="12" customHeight="1">
      <c r="B42" s="282"/>
    </row>
    <row r="43" spans="2:9" ht="12" customHeight="1">
      <c r="B43" s="282"/>
    </row>
    <row r="44" spans="2:9" ht="12" customHeight="1">
      <c r="B44" s="282"/>
    </row>
    <row r="45" spans="2:9" ht="12" customHeight="1">
      <c r="B45" s="282"/>
    </row>
    <row r="46" spans="2:9" ht="12" customHeight="1">
      <c r="B46" s="282"/>
    </row>
    <row r="47" spans="2:9" ht="12" customHeight="1">
      <c r="B47" s="282"/>
    </row>
  </sheetData>
  <sheetProtection password="C38D" sheet="1" objects="1" scenarios="1"/>
  <mergeCells count="5">
    <mergeCell ref="G12:H12"/>
    <mergeCell ref="H13:I13"/>
    <mergeCell ref="A20:A26"/>
    <mergeCell ref="D6:E6"/>
    <mergeCell ref="C12:C13"/>
  </mergeCells>
  <phoneticPr fontId="0" type="noConversion"/>
  <pageMargins left="0.62" right="0.46" top="1" bottom="1" header="0.5" footer="0.5"/>
  <pageSetup paperSize="9" scale="99" orientation="landscape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4227">
    <pageSetUpPr fitToPage="1"/>
  </sheetPr>
  <dimension ref="A1:R62"/>
  <sheetViews>
    <sheetView showGridLines="0" showRowColHeaders="0" showZeros="0" topLeftCell="A9" zoomScale="80" zoomScaleNormal="80" workbookViewId="0">
      <pane ySplit="5" topLeftCell="A14" activePane="bottomLeft" state="frozenSplit"/>
      <selection activeCell="J14" sqref="J14"/>
      <selection pane="bottomLeft" activeCell="J15" sqref="J15"/>
    </sheetView>
  </sheetViews>
  <sheetFormatPr defaultColWidth="11.3828125" defaultRowHeight="12.45"/>
  <cols>
    <col min="1" max="1" width="2.84375" style="269" customWidth="1"/>
    <col min="2" max="2" width="8.84375" style="318" hidden="1" customWidth="1"/>
    <col min="3" max="3" width="4.53515625" style="320" hidden="1" customWidth="1"/>
    <col min="4" max="4" width="11.3828125" style="354" hidden="1" customWidth="1"/>
    <col min="5" max="5" width="8.3828125" style="354" hidden="1" customWidth="1"/>
    <col min="6" max="6" width="7.15234375" style="30" hidden="1" customWidth="1"/>
    <col min="7" max="7" width="1.53515625" style="30" hidden="1" customWidth="1"/>
    <col min="8" max="8" width="4.15234375" style="1" customWidth="1"/>
    <col min="9" max="9" width="7.53515625" style="1" customWidth="1"/>
    <col min="10" max="13" width="8.15234375" style="6" customWidth="1"/>
    <col min="14" max="14" width="11.07421875" style="8" customWidth="1"/>
    <col min="15" max="15" width="37.07421875" style="1" customWidth="1"/>
    <col min="16" max="16" width="11.84375" style="1" customWidth="1"/>
    <col min="17" max="16384" width="11.3828125" style="1"/>
  </cols>
  <sheetData>
    <row r="1" spans="1:16" s="12" customFormat="1" ht="16" customHeight="1">
      <c r="A1" s="21" t="s">
        <v>30</v>
      </c>
      <c r="B1" s="315"/>
      <c r="C1" s="315"/>
      <c r="D1" s="272"/>
      <c r="E1" s="272"/>
      <c r="F1" s="272"/>
      <c r="G1" s="272"/>
      <c r="P1" s="174" t="s">
        <v>31</v>
      </c>
    </row>
    <row r="2" spans="1:16" s="115" customFormat="1" ht="14.25" customHeight="1">
      <c r="A2" s="145">
        <f>inst</f>
        <v>0</v>
      </c>
      <c r="B2" s="317"/>
      <c r="C2" s="317"/>
      <c r="D2" s="145"/>
      <c r="E2" s="151"/>
      <c r="F2" s="451"/>
      <c r="G2" s="145"/>
    </row>
    <row r="3" spans="1:16" s="166" customFormat="1" ht="15.75" customHeight="1">
      <c r="A3" s="17"/>
      <c r="B3" s="318"/>
      <c r="C3" s="318"/>
      <c r="D3" s="17"/>
      <c r="E3" s="151"/>
      <c r="F3" s="452"/>
      <c r="G3" s="17"/>
      <c r="L3" s="175"/>
    </row>
    <row r="4" spans="1:16" s="166" customFormat="1" ht="15.75" customHeight="1">
      <c r="A4" s="17"/>
      <c r="B4" s="318"/>
      <c r="C4" s="318"/>
      <c r="D4" s="176"/>
      <c r="E4" s="406"/>
      <c r="F4" s="319"/>
      <c r="G4" s="17"/>
      <c r="H4" s="17"/>
      <c r="I4" s="17"/>
      <c r="J4" s="17"/>
      <c r="K4" s="17"/>
      <c r="L4" s="17"/>
      <c r="M4" s="17"/>
      <c r="N4" s="17"/>
      <c r="O4" s="176" t="s">
        <v>34</v>
      </c>
      <c r="P4" s="32">
        <f>H14</f>
        <v>43830</v>
      </c>
    </row>
    <row r="5" spans="1:16" s="166" customFormat="1" ht="15.75" customHeight="1">
      <c r="A5" s="17"/>
      <c r="B5" s="318"/>
      <c r="C5" s="318"/>
      <c r="D5" s="176"/>
      <c r="E5" s="176"/>
      <c r="F5" s="17"/>
      <c r="G5" s="17"/>
      <c r="H5" s="17"/>
      <c r="I5" s="17"/>
      <c r="J5" s="17"/>
      <c r="K5" s="17"/>
      <c r="L5" s="17"/>
      <c r="M5" s="17"/>
      <c r="N5" s="17"/>
      <c r="O5" s="176" t="s">
        <v>33</v>
      </c>
      <c r="P5" s="33">
        <f>H14</f>
        <v>43830</v>
      </c>
    </row>
    <row r="6" spans="1:16" s="166" customFormat="1" ht="15.75" customHeight="1">
      <c r="A6" s="17"/>
      <c r="B6" s="17"/>
      <c r="C6" s="318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6" ht="12.75" customHeight="1" thickBot="1">
      <c r="H7" s="422" t="s">
        <v>73</v>
      </c>
      <c r="I7" s="423"/>
      <c r="J7" s="423"/>
      <c r="K7" s="423"/>
      <c r="L7" s="423"/>
      <c r="M7" s="423"/>
      <c r="N7" s="422" t="s">
        <v>74</v>
      </c>
      <c r="O7" s="422" t="s">
        <v>72</v>
      </c>
      <c r="P7" s="424"/>
    </row>
    <row r="8" spans="1:16" s="2" customFormat="1" ht="17.25" customHeight="1" thickBot="1">
      <c r="A8" s="269"/>
      <c r="B8" s="318"/>
      <c r="C8" s="321"/>
      <c r="D8" s="453" t="s">
        <v>120</v>
      </c>
      <c r="E8" s="392">
        <f ca="1">INT((LEN(fel_1)+LEN(fel_2)+LEN(fel_3))/60)+COUNTIF(B14:C44,"1")</f>
        <v>3</v>
      </c>
      <c r="F8" s="323"/>
      <c r="G8" s="323"/>
      <c r="H8" s="39" t="str">
        <f>IF(namn&lt;&gt;"","  "&amp;namn,"")</f>
        <v/>
      </c>
      <c r="I8" s="40"/>
      <c r="J8" s="41"/>
      <c r="K8" s="41"/>
      <c r="L8" s="41"/>
      <c r="M8" s="41"/>
      <c r="N8" s="180">
        <f>tjänst</f>
        <v>1</v>
      </c>
      <c r="O8" s="42" t="str">
        <f>IF(p_nr&lt;&gt;"","  "&amp;p_nr,"")</f>
        <v/>
      </c>
      <c r="P8" s="287"/>
    </row>
    <row r="9" spans="1:16" s="2" customFormat="1" ht="3" customHeight="1">
      <c r="A9" s="269"/>
      <c r="B9" s="454"/>
      <c r="C9" s="455"/>
      <c r="D9" s="436"/>
      <c r="E9" s="436"/>
      <c r="F9" s="436"/>
      <c r="G9" s="402"/>
      <c r="H9" s="415"/>
      <c r="I9" s="415"/>
      <c r="J9" s="415"/>
      <c r="K9" s="415"/>
      <c r="L9" s="415"/>
      <c r="M9" s="415"/>
      <c r="N9" s="416"/>
      <c r="O9" s="417"/>
      <c r="P9" s="418"/>
    </row>
    <row r="10" spans="1:16" s="14" customFormat="1" ht="12.75" customHeight="1">
      <c r="A10" s="324"/>
      <c r="B10" s="559" t="s">
        <v>135</v>
      </c>
      <c r="C10" s="560"/>
      <c r="D10" s="437" t="s">
        <v>119</v>
      </c>
      <c r="E10" s="437" t="s">
        <v>121</v>
      </c>
      <c r="F10" s="438" t="s">
        <v>116</v>
      </c>
      <c r="G10" s="390"/>
      <c r="H10" s="409" t="s">
        <v>88</v>
      </c>
      <c r="I10" s="409" t="s">
        <v>39</v>
      </c>
      <c r="J10" s="410" t="s">
        <v>14</v>
      </c>
      <c r="K10" s="410" t="s">
        <v>15</v>
      </c>
      <c r="L10" s="410" t="s">
        <v>15</v>
      </c>
      <c r="M10" s="410" t="s">
        <v>14</v>
      </c>
      <c r="N10" s="411" t="s">
        <v>145</v>
      </c>
      <c r="O10" s="409" t="s">
        <v>76</v>
      </c>
      <c r="P10" s="412" t="s">
        <v>77</v>
      </c>
    </row>
    <row r="11" spans="1:16" s="14" customFormat="1" ht="12.75" customHeight="1">
      <c r="A11" s="324"/>
      <c r="B11" s="439" t="s">
        <v>118</v>
      </c>
      <c r="C11" s="456" t="s">
        <v>101</v>
      </c>
      <c r="D11" s="437" t="s">
        <v>118</v>
      </c>
      <c r="E11" s="437" t="s">
        <v>122</v>
      </c>
      <c r="F11" s="439" t="s">
        <v>117</v>
      </c>
      <c r="G11" s="391"/>
      <c r="H11" s="409" t="s">
        <v>9</v>
      </c>
      <c r="I11" s="409" t="s">
        <v>10</v>
      </c>
      <c r="J11" s="413" t="s">
        <v>16</v>
      </c>
      <c r="K11" s="414" t="s">
        <v>16</v>
      </c>
      <c r="L11" s="414" t="s">
        <v>17</v>
      </c>
      <c r="M11" s="410" t="s">
        <v>18</v>
      </c>
      <c r="N11" s="419" t="str">
        <f ca="1">IF(INFO("system")="mac","tim.minut","tim:minut")</f>
        <v>tim:minut</v>
      </c>
      <c r="O11" s="420" t="s">
        <v>163</v>
      </c>
      <c r="P11" s="421" t="s">
        <v>161</v>
      </c>
    </row>
    <row r="12" spans="1:16" s="2" customFormat="1" ht="3" customHeight="1">
      <c r="A12" s="269"/>
      <c r="B12" s="439"/>
      <c r="C12" s="456"/>
      <c r="D12" s="439"/>
      <c r="E12" s="439"/>
      <c r="F12" s="439"/>
      <c r="G12" s="402"/>
      <c r="H12" s="409"/>
      <c r="I12" s="409"/>
      <c r="J12" s="409"/>
      <c r="K12" s="409"/>
      <c r="L12" s="409"/>
      <c r="M12" s="409"/>
      <c r="N12" s="425"/>
      <c r="O12" s="412"/>
      <c r="P12" s="426"/>
    </row>
    <row r="13" spans="1:16" s="172" customFormat="1" ht="18" customHeight="1" thickBot="1">
      <c r="A13" s="329"/>
      <c r="B13" s="449" t="s">
        <v>10</v>
      </c>
      <c r="C13" s="457" t="s">
        <v>102</v>
      </c>
      <c r="D13" s="448" t="s">
        <v>22</v>
      </c>
      <c r="E13" s="448" t="s">
        <v>123</v>
      </c>
      <c r="F13" s="449" t="s">
        <v>142</v>
      </c>
      <c r="G13" s="401"/>
      <c r="H13" s="167" t="str">
        <f>IF(LEN(J13)&gt;0,"  INFO:","")</f>
        <v xml:space="preserve">  INFO:</v>
      </c>
      <c r="I13" s="168"/>
      <c r="J13" s="544" t="str">
        <f>IF(LEN(fel_1)&gt;0,fel_1,IF(LEN(fel_2)&gt;0,fel_2,IF(LEN(fel_3)&gt;0,fel_3,IF(LEN(fel_4)&gt;0,fel_4,IF(SUMIF(B14:B44,"&gt;0"),semfel_1&amp;TEXT(VLOOKUP(1,B14:P44,7),"D MMM")&amp;semfel_2,IF(COUNTIF(C14:C44,"1"),ändr_fel,""))))))</f>
        <v>Du har glömt ange namn och/eller personnr på fliken "Grunddata"!</v>
      </c>
      <c r="K13" s="545"/>
      <c r="L13" s="545"/>
      <c r="M13" s="545"/>
      <c r="N13" s="545"/>
      <c r="O13" s="545"/>
      <c r="P13" s="171" t="str">
        <f ca="1">IF(E8&gt;1,"Tot. "&amp;E8&amp;" fel","")</f>
        <v>Tot. 3 fel</v>
      </c>
    </row>
    <row r="14" spans="1:16" ht="17.25" customHeight="1">
      <c r="A14" s="334"/>
      <c r="B14" s="458" t="str">
        <f t="shared" ref="B14:B44" ca="1" si="0">IF(AND(F14="ej sem",OR(LEFT(O14,3)="sem",LEFT(O14,4)="sjuk")),1,"")</f>
        <v/>
      </c>
      <c r="C14" s="459" t="str">
        <f t="shared" ref="C14:C44" ca="1" si="1">IF(NOT(ISERROR(E14)),"",IF(N14&lt;&gt;"",IF(ERROR.TYPE(E14)=3,1,),))</f>
        <v/>
      </c>
      <c r="D14" s="388">
        <f t="shared" ref="D14:D44" ca="1" si="2">IF(TODAY()&gt;=H14,IF(AND(LEFT(O14,3)="SEM",F14&lt;&gt;"ej sem"),1,IF(AND(LEFT(O14,4)="sjuk",F14&lt;&gt;"ej sem"),100,0)),0)</f>
        <v>0</v>
      </c>
      <c r="E14" s="381">
        <f t="shared" ref="E14:E44" ca="1" si="3">IF(AND(TODAY()&gt;=H14,F14&gt;0,OR(J14&gt;0,L14&gt;0,N14&lt;&gt;0)),((M14-L14+K14-J14)+IF(ISBLANK(N14),0,IF(LEFT(N14,1)="-",-TIMEVALUE(RIGHT(N14,LEN(N14)-1)),IF(LEFT(N14,1)="+",TIMEVALUE(RIGHT(N14,LEN(N14)-1)),TIMEVALUE(N14)))))*24,IF(OR(D14=1,D14=100),F14*tjänst,0))</f>
        <v>0</v>
      </c>
      <c r="F14" s="183">
        <f ca="1">IF(AND(H14&gt;=startdag,H14&lt;=slutdag),IF(TODAY()&gt;=H14,Normtid!D5,0),0)</f>
        <v>0</v>
      </c>
      <c r="G14" s="403"/>
      <c r="H14" s="375">
        <f>Normtid!C5</f>
        <v>43830</v>
      </c>
      <c r="I14" s="384" t="str">
        <f t="shared" ref="I14:I44" si="4">PROPER(TEXT(WEEKDAY(H14)+1,"DDD"))</f>
        <v>Mån</v>
      </c>
      <c r="J14" s="378"/>
      <c r="K14" s="378"/>
      <c r="L14" s="378"/>
      <c r="M14" s="378"/>
      <c r="N14" s="379"/>
      <c r="O14" s="380" t="str">
        <f>Normtid!$E5</f>
        <v>Nyårsdagen</v>
      </c>
      <c r="P14" s="381">
        <f ca="1">IF(E14&lt;&gt;0,E14,0)</f>
        <v>0</v>
      </c>
    </row>
    <row r="15" spans="1:16" ht="15.75" customHeight="1">
      <c r="B15" s="460" t="str">
        <f t="shared" ca="1" si="0"/>
        <v/>
      </c>
      <c r="C15" s="461" t="str">
        <f t="shared" ca="1" si="1"/>
        <v/>
      </c>
      <c r="D15" s="195">
        <f t="shared" ca="1" si="2"/>
        <v>0</v>
      </c>
      <c r="E15" s="196">
        <f t="shared" ca="1" si="3"/>
        <v>0</v>
      </c>
      <c r="F15" s="191">
        <f ca="1">IF(AND(H15&gt;=startdag,H15&lt;=slutdag),IF(TODAY()&gt;=H15,Normtid!D6,0),0)</f>
        <v>0</v>
      </c>
      <c r="G15" s="403"/>
      <c r="H15" s="189">
        <f>Normtid!C6</f>
        <v>43831</v>
      </c>
      <c r="I15" s="218" t="str">
        <f t="shared" si="4"/>
        <v>Tis</v>
      </c>
      <c r="J15" s="202"/>
      <c r="K15" s="202"/>
      <c r="L15" s="202"/>
      <c r="M15" s="202"/>
      <c r="N15" s="383"/>
      <c r="O15" s="194" t="str">
        <f>Normtid!$E6</f>
        <v/>
      </c>
      <c r="P15" s="196">
        <f t="shared" ref="P15:P44" ca="1" si="5">IF(E15&lt;&gt;0,E15,0)</f>
        <v>0</v>
      </c>
    </row>
    <row r="16" spans="1:16" ht="15.75" customHeight="1">
      <c r="B16" s="462" t="str">
        <f t="shared" ca="1" si="0"/>
        <v/>
      </c>
      <c r="C16" s="463" t="str">
        <f t="shared" ca="1" si="1"/>
        <v/>
      </c>
      <c r="D16" s="388">
        <f t="shared" ca="1" si="2"/>
        <v>0</v>
      </c>
      <c r="E16" s="188">
        <f t="shared" ca="1" si="3"/>
        <v>0</v>
      </c>
      <c r="F16" s="183">
        <f ca="1">IF(AND(H16&gt;=startdag,H16&lt;=slutdag),IF(TODAY()&gt;=H16,Normtid!D7,0),0)</f>
        <v>0</v>
      </c>
      <c r="G16" s="403"/>
      <c r="H16" s="181">
        <f>Normtid!C7</f>
        <v>43832</v>
      </c>
      <c r="I16" s="219" t="str">
        <f t="shared" si="4"/>
        <v>Ons</v>
      </c>
      <c r="J16" s="204"/>
      <c r="K16" s="204"/>
      <c r="L16" s="204"/>
      <c r="M16" s="204"/>
      <c r="N16" s="379"/>
      <c r="O16" s="186" t="str">
        <f>Normtid!$E7</f>
        <v/>
      </c>
      <c r="P16" s="188">
        <f t="shared" ca="1" si="5"/>
        <v>0</v>
      </c>
    </row>
    <row r="17" spans="2:18" ht="15.75" customHeight="1">
      <c r="B17" s="460" t="str">
        <f t="shared" ca="1" si="0"/>
        <v/>
      </c>
      <c r="C17" s="461" t="str">
        <f t="shared" ca="1" si="1"/>
        <v/>
      </c>
      <c r="D17" s="195">
        <f t="shared" ca="1" si="2"/>
        <v>0</v>
      </c>
      <c r="E17" s="196">
        <f t="shared" ca="1" si="3"/>
        <v>0</v>
      </c>
      <c r="F17" s="191">
        <f ca="1">IF(AND(H17&gt;=startdag,H17&lt;=slutdag),IF(TODAY()&gt;=H17,Normtid!D8,0),0)</f>
        <v>0</v>
      </c>
      <c r="G17" s="403"/>
      <c r="H17" s="189">
        <f>Normtid!C8</f>
        <v>43833</v>
      </c>
      <c r="I17" s="218" t="str">
        <f t="shared" si="4"/>
        <v>Tor</v>
      </c>
      <c r="J17" s="202"/>
      <c r="K17" s="202"/>
      <c r="L17" s="202"/>
      <c r="M17" s="202"/>
      <c r="N17" s="383"/>
      <c r="O17" s="194" t="str">
        <f>Normtid!$E8</f>
        <v/>
      </c>
      <c r="P17" s="196">
        <f t="shared" ca="1" si="5"/>
        <v>0</v>
      </c>
      <c r="R17" s="30"/>
    </row>
    <row r="18" spans="2:18" ht="15.75" customHeight="1">
      <c r="B18" s="462" t="str">
        <f t="shared" ca="1" si="0"/>
        <v/>
      </c>
      <c r="C18" s="463" t="str">
        <f t="shared" ca="1" si="1"/>
        <v/>
      </c>
      <c r="D18" s="388">
        <f t="shared" ca="1" si="2"/>
        <v>0</v>
      </c>
      <c r="E18" s="188">
        <f t="shared" ca="1" si="3"/>
        <v>0</v>
      </c>
      <c r="F18" s="183">
        <f ca="1">IF(AND(H18&gt;=startdag,H18&lt;=slutdag),IF(TODAY()&gt;=H18,Normtid!D9,0),0)</f>
        <v>0</v>
      </c>
      <c r="G18" s="403"/>
      <c r="H18" s="181">
        <f>Normtid!C9</f>
        <v>43834</v>
      </c>
      <c r="I18" s="219" t="str">
        <f>PROPER(TEXT(WEEKDAY(H18)+1,"DDD"))</f>
        <v>Fre</v>
      </c>
      <c r="J18" s="204"/>
      <c r="K18" s="204"/>
      <c r="L18" s="204"/>
      <c r="M18" s="204"/>
      <c r="N18" s="379"/>
      <c r="O18" s="186" t="str">
        <f>Normtid!$E9</f>
        <v>Trettondagsafton</v>
      </c>
      <c r="P18" s="188">
        <f t="shared" ca="1" si="5"/>
        <v>0</v>
      </c>
    </row>
    <row r="19" spans="2:18" ht="15.75" customHeight="1">
      <c r="B19" s="460" t="str">
        <f t="shared" ca="1" si="0"/>
        <v/>
      </c>
      <c r="C19" s="461" t="str">
        <f t="shared" ca="1" si="1"/>
        <v/>
      </c>
      <c r="D19" s="195">
        <f t="shared" ca="1" si="2"/>
        <v>0</v>
      </c>
      <c r="E19" s="196">
        <f t="shared" ca="1" si="3"/>
        <v>0</v>
      </c>
      <c r="F19" s="191">
        <f ca="1">IF(AND(H19&gt;=startdag,H19&lt;=slutdag),IF(TODAY()&gt;=H19,Normtid!D10,0),0)</f>
        <v>0</v>
      </c>
      <c r="G19" s="403"/>
      <c r="H19" s="189">
        <f>Normtid!C10</f>
        <v>43835</v>
      </c>
      <c r="I19" s="218" t="str">
        <f t="shared" si="4"/>
        <v>Lör</v>
      </c>
      <c r="J19" s="202"/>
      <c r="K19" s="202"/>
      <c r="L19" s="202"/>
      <c r="M19" s="202"/>
      <c r="N19" s="383"/>
      <c r="O19" s="194" t="str">
        <f>Normtid!$E10</f>
        <v>Trettondedag jul</v>
      </c>
      <c r="P19" s="196">
        <f t="shared" ca="1" si="5"/>
        <v>0</v>
      </c>
    </row>
    <row r="20" spans="2:18" ht="15.75" customHeight="1">
      <c r="B20" s="462" t="str">
        <f t="shared" ca="1" si="0"/>
        <v/>
      </c>
      <c r="C20" s="463" t="str">
        <f t="shared" ca="1" si="1"/>
        <v/>
      </c>
      <c r="D20" s="388">
        <f t="shared" ca="1" si="2"/>
        <v>0</v>
      </c>
      <c r="E20" s="188">
        <f t="shared" ca="1" si="3"/>
        <v>0</v>
      </c>
      <c r="F20" s="183">
        <f ca="1">IF(AND(H20&gt;=startdag,H20&lt;=slutdag),IF(TODAY()&gt;=H20,Normtid!D11,0),0)</f>
        <v>0</v>
      </c>
      <c r="G20" s="403"/>
      <c r="H20" s="181">
        <f>Normtid!C11</f>
        <v>43836</v>
      </c>
      <c r="I20" s="219" t="str">
        <f t="shared" si="4"/>
        <v>Sön</v>
      </c>
      <c r="J20" s="204"/>
      <c r="K20" s="204"/>
      <c r="L20" s="204"/>
      <c r="M20" s="204"/>
      <c r="N20" s="379"/>
      <c r="O20" s="186" t="str">
        <f>Normtid!$E11</f>
        <v/>
      </c>
      <c r="P20" s="188">
        <f t="shared" ca="1" si="5"/>
        <v>0</v>
      </c>
    </row>
    <row r="21" spans="2:18" ht="15.75" customHeight="1">
      <c r="B21" s="460" t="str">
        <f t="shared" ca="1" si="0"/>
        <v/>
      </c>
      <c r="C21" s="461" t="str">
        <f t="shared" ca="1" si="1"/>
        <v/>
      </c>
      <c r="D21" s="195">
        <f t="shared" ca="1" si="2"/>
        <v>0</v>
      </c>
      <c r="E21" s="196">
        <f t="shared" ca="1" si="3"/>
        <v>0</v>
      </c>
      <c r="F21" s="191">
        <f ca="1">IF(AND(H21&gt;=startdag,H21&lt;=slutdag),IF(TODAY()&gt;=H21,Normtid!D12,0),0)</f>
        <v>0</v>
      </c>
      <c r="G21" s="403"/>
      <c r="H21" s="189">
        <f>Normtid!C12</f>
        <v>43837</v>
      </c>
      <c r="I21" s="218" t="str">
        <f t="shared" si="4"/>
        <v>Mån</v>
      </c>
      <c r="J21" s="202"/>
      <c r="K21" s="202"/>
      <c r="L21" s="202"/>
      <c r="M21" s="202"/>
      <c r="N21" s="383"/>
      <c r="O21" s="194" t="str">
        <f>Normtid!$E12</f>
        <v/>
      </c>
      <c r="P21" s="196">
        <f t="shared" ca="1" si="5"/>
        <v>0</v>
      </c>
    </row>
    <row r="22" spans="2:18" ht="15.75" customHeight="1">
      <c r="B22" s="462" t="str">
        <f t="shared" ca="1" si="0"/>
        <v/>
      </c>
      <c r="C22" s="463" t="str">
        <f t="shared" ca="1" si="1"/>
        <v/>
      </c>
      <c r="D22" s="388">
        <f t="shared" ca="1" si="2"/>
        <v>0</v>
      </c>
      <c r="E22" s="188">
        <f t="shared" ca="1" si="3"/>
        <v>0</v>
      </c>
      <c r="F22" s="183">
        <f ca="1">IF(AND(H22&gt;=startdag,H22&lt;=slutdag),IF(TODAY()&gt;=H22,Normtid!D13,0),0)</f>
        <v>0</v>
      </c>
      <c r="G22" s="403"/>
      <c r="H22" s="181">
        <f>Normtid!C13</f>
        <v>43838</v>
      </c>
      <c r="I22" s="219" t="str">
        <f t="shared" si="4"/>
        <v>Tis</v>
      </c>
      <c r="J22" s="204"/>
      <c r="K22" s="204"/>
      <c r="L22" s="204"/>
      <c r="M22" s="204"/>
      <c r="N22" s="379"/>
      <c r="O22" s="186"/>
      <c r="P22" s="188">
        <f t="shared" ca="1" si="5"/>
        <v>0</v>
      </c>
    </row>
    <row r="23" spans="2:18" ht="15.75" customHeight="1">
      <c r="B23" s="460" t="str">
        <f t="shared" ca="1" si="0"/>
        <v/>
      </c>
      <c r="C23" s="461" t="str">
        <f t="shared" ca="1" si="1"/>
        <v/>
      </c>
      <c r="D23" s="195">
        <f t="shared" ca="1" si="2"/>
        <v>0</v>
      </c>
      <c r="E23" s="196">
        <f t="shared" ca="1" si="3"/>
        <v>0</v>
      </c>
      <c r="F23" s="191">
        <f ca="1">IF(AND(H23&gt;=startdag,H23&lt;=slutdag),IF(TODAY()&gt;=H23,Normtid!D14,0),0)</f>
        <v>0</v>
      </c>
      <c r="G23" s="403"/>
      <c r="H23" s="189">
        <f>Normtid!C14</f>
        <v>43839</v>
      </c>
      <c r="I23" s="218" t="str">
        <f t="shared" si="4"/>
        <v>Ons</v>
      </c>
      <c r="J23" s="202"/>
      <c r="K23" s="202"/>
      <c r="L23" s="202"/>
      <c r="M23" s="202"/>
      <c r="N23" s="383"/>
      <c r="O23" s="194" t="str">
        <f>Normtid!$E14</f>
        <v/>
      </c>
      <c r="P23" s="196">
        <f t="shared" ca="1" si="5"/>
        <v>0</v>
      </c>
    </row>
    <row r="24" spans="2:18" ht="15.75" customHeight="1">
      <c r="B24" s="462" t="str">
        <f t="shared" ca="1" si="0"/>
        <v/>
      </c>
      <c r="C24" s="463" t="str">
        <f t="shared" ca="1" si="1"/>
        <v/>
      </c>
      <c r="D24" s="388">
        <f t="shared" ca="1" si="2"/>
        <v>0</v>
      </c>
      <c r="E24" s="188">
        <f t="shared" ca="1" si="3"/>
        <v>0</v>
      </c>
      <c r="F24" s="183">
        <f ca="1">IF(AND(H24&gt;=startdag,H24&lt;=slutdag),IF(TODAY()&gt;=H24,Normtid!D15,0),0)</f>
        <v>0</v>
      </c>
      <c r="G24" s="403"/>
      <c r="H24" s="181">
        <f>Normtid!C15</f>
        <v>43840</v>
      </c>
      <c r="I24" s="219" t="str">
        <f t="shared" si="4"/>
        <v>Tor</v>
      </c>
      <c r="J24" s="204"/>
      <c r="K24" s="204"/>
      <c r="L24" s="204"/>
      <c r="M24" s="204"/>
      <c r="N24" s="379"/>
      <c r="O24" s="186" t="str">
        <f>Normtid!$E15</f>
        <v/>
      </c>
      <c r="P24" s="188">
        <f t="shared" ca="1" si="5"/>
        <v>0</v>
      </c>
    </row>
    <row r="25" spans="2:18" ht="15.75" customHeight="1">
      <c r="B25" s="460" t="str">
        <f t="shared" ca="1" si="0"/>
        <v/>
      </c>
      <c r="C25" s="461" t="str">
        <f t="shared" ca="1" si="1"/>
        <v/>
      </c>
      <c r="D25" s="195">
        <f t="shared" ca="1" si="2"/>
        <v>0</v>
      </c>
      <c r="E25" s="196">
        <f t="shared" ca="1" si="3"/>
        <v>0</v>
      </c>
      <c r="F25" s="191">
        <f ca="1">IF(AND(H25&gt;=startdag,H25&lt;=slutdag),IF(TODAY()&gt;=H25,Normtid!D16,0),0)</f>
        <v>0</v>
      </c>
      <c r="G25" s="403"/>
      <c r="H25" s="189">
        <f>Normtid!C16</f>
        <v>43841</v>
      </c>
      <c r="I25" s="218" t="str">
        <f t="shared" si="4"/>
        <v>Fre</v>
      </c>
      <c r="J25" s="202"/>
      <c r="K25" s="202"/>
      <c r="L25" s="202"/>
      <c r="M25" s="202"/>
      <c r="N25" s="383"/>
      <c r="O25" s="194" t="str">
        <f>Normtid!$E16</f>
        <v/>
      </c>
      <c r="P25" s="196">
        <f t="shared" ca="1" si="5"/>
        <v>0</v>
      </c>
    </row>
    <row r="26" spans="2:18" ht="15.75" customHeight="1">
      <c r="B26" s="462" t="str">
        <f t="shared" ca="1" si="0"/>
        <v/>
      </c>
      <c r="C26" s="463" t="str">
        <f t="shared" ca="1" si="1"/>
        <v/>
      </c>
      <c r="D26" s="388">
        <f t="shared" ca="1" si="2"/>
        <v>0</v>
      </c>
      <c r="E26" s="188">
        <f t="shared" ca="1" si="3"/>
        <v>0</v>
      </c>
      <c r="F26" s="183">
        <f ca="1">IF(AND(H26&gt;=startdag,H26&lt;=slutdag),IF(TODAY()&gt;=H26,Normtid!D17,0),0)</f>
        <v>0</v>
      </c>
      <c r="G26" s="403"/>
      <c r="H26" s="181">
        <f>Normtid!C17</f>
        <v>43842</v>
      </c>
      <c r="I26" s="219" t="str">
        <f t="shared" si="4"/>
        <v>Lör</v>
      </c>
      <c r="J26" s="204"/>
      <c r="K26" s="204"/>
      <c r="L26" s="204"/>
      <c r="M26" s="204"/>
      <c r="N26" s="379"/>
      <c r="O26" s="186" t="str">
        <f>Normtid!$E17</f>
        <v/>
      </c>
      <c r="P26" s="188">
        <f t="shared" ca="1" si="5"/>
        <v>0</v>
      </c>
    </row>
    <row r="27" spans="2:18" ht="15.75" customHeight="1">
      <c r="B27" s="460" t="str">
        <f t="shared" ca="1" si="0"/>
        <v/>
      </c>
      <c r="C27" s="461" t="str">
        <f t="shared" ca="1" si="1"/>
        <v/>
      </c>
      <c r="D27" s="195">
        <f t="shared" ca="1" si="2"/>
        <v>0</v>
      </c>
      <c r="E27" s="196">
        <f t="shared" ca="1" si="3"/>
        <v>0</v>
      </c>
      <c r="F27" s="191">
        <f ca="1">IF(AND(H27&gt;=startdag,H27&lt;=slutdag),IF(TODAY()&gt;=H27,Normtid!D18,0),0)</f>
        <v>0</v>
      </c>
      <c r="G27" s="403"/>
      <c r="H27" s="189">
        <f>Normtid!C18</f>
        <v>43843</v>
      </c>
      <c r="I27" s="218" t="str">
        <f t="shared" si="4"/>
        <v>Sön</v>
      </c>
      <c r="J27" s="202"/>
      <c r="K27" s="202"/>
      <c r="L27" s="202"/>
      <c r="M27" s="202"/>
      <c r="N27" s="383"/>
      <c r="O27" s="194" t="str">
        <f>Normtid!$E18</f>
        <v/>
      </c>
      <c r="P27" s="196">
        <f t="shared" ca="1" si="5"/>
        <v>0</v>
      </c>
    </row>
    <row r="28" spans="2:18" ht="15.75" customHeight="1">
      <c r="B28" s="462" t="str">
        <f t="shared" ca="1" si="0"/>
        <v/>
      </c>
      <c r="C28" s="463" t="str">
        <f t="shared" ca="1" si="1"/>
        <v/>
      </c>
      <c r="D28" s="388">
        <f t="shared" ca="1" si="2"/>
        <v>0</v>
      </c>
      <c r="E28" s="188">
        <f t="shared" ca="1" si="3"/>
        <v>0</v>
      </c>
      <c r="F28" s="183">
        <f ca="1">IF(AND(H28&gt;=startdag,H28&lt;=slutdag),IF(TODAY()&gt;=H28,Normtid!D19,0),0)</f>
        <v>0</v>
      </c>
      <c r="G28" s="403"/>
      <c r="H28" s="181">
        <f>Normtid!C19</f>
        <v>43844</v>
      </c>
      <c r="I28" s="219" t="str">
        <f t="shared" si="4"/>
        <v>Mån</v>
      </c>
      <c r="J28" s="204"/>
      <c r="K28" s="204"/>
      <c r="L28" s="204"/>
      <c r="M28" s="204"/>
      <c r="N28" s="379"/>
      <c r="O28" s="186" t="str">
        <f>Normtid!$E19</f>
        <v/>
      </c>
      <c r="P28" s="188">
        <f t="shared" ca="1" si="5"/>
        <v>0</v>
      </c>
    </row>
    <row r="29" spans="2:18" ht="15.75" customHeight="1">
      <c r="B29" s="460" t="str">
        <f t="shared" ca="1" si="0"/>
        <v/>
      </c>
      <c r="C29" s="461" t="str">
        <f t="shared" ca="1" si="1"/>
        <v/>
      </c>
      <c r="D29" s="195">
        <f t="shared" ca="1" si="2"/>
        <v>0</v>
      </c>
      <c r="E29" s="196">
        <f t="shared" ca="1" si="3"/>
        <v>0</v>
      </c>
      <c r="F29" s="191">
        <f ca="1">IF(AND(H29&gt;=startdag,H29&lt;=slutdag),IF(TODAY()&gt;=H29,Normtid!D20,0),0)</f>
        <v>0</v>
      </c>
      <c r="G29" s="403"/>
      <c r="H29" s="189">
        <f>Normtid!C20</f>
        <v>43845</v>
      </c>
      <c r="I29" s="218" t="str">
        <f t="shared" si="4"/>
        <v>Tis</v>
      </c>
      <c r="J29" s="202"/>
      <c r="K29" s="202"/>
      <c r="L29" s="202"/>
      <c r="M29" s="202"/>
      <c r="N29" s="383"/>
      <c r="O29" s="194" t="str">
        <f>Normtid!$E20</f>
        <v/>
      </c>
      <c r="P29" s="196">
        <f t="shared" ca="1" si="5"/>
        <v>0</v>
      </c>
    </row>
    <row r="30" spans="2:18" ht="15.75" customHeight="1">
      <c r="B30" s="462" t="str">
        <f t="shared" ca="1" si="0"/>
        <v/>
      </c>
      <c r="C30" s="463" t="str">
        <f t="shared" ca="1" si="1"/>
        <v/>
      </c>
      <c r="D30" s="388">
        <f t="shared" ca="1" si="2"/>
        <v>0</v>
      </c>
      <c r="E30" s="188">
        <f t="shared" ca="1" si="3"/>
        <v>0</v>
      </c>
      <c r="F30" s="183">
        <f ca="1">IF(AND(H30&gt;=startdag,H30&lt;=slutdag),IF(TODAY()&gt;=H30,Normtid!D21,0),0)</f>
        <v>0</v>
      </c>
      <c r="G30" s="403"/>
      <c r="H30" s="181">
        <f>Normtid!C21</f>
        <v>43846</v>
      </c>
      <c r="I30" s="219" t="str">
        <f t="shared" si="4"/>
        <v>Ons</v>
      </c>
      <c r="J30" s="204"/>
      <c r="K30" s="204"/>
      <c r="L30" s="204"/>
      <c r="M30" s="204"/>
      <c r="N30" s="379"/>
      <c r="O30" s="186" t="str">
        <f>Normtid!$E21</f>
        <v/>
      </c>
      <c r="P30" s="188">
        <f t="shared" ca="1" si="5"/>
        <v>0</v>
      </c>
    </row>
    <row r="31" spans="2:18" ht="15.75" customHeight="1">
      <c r="B31" s="460" t="str">
        <f t="shared" ca="1" si="0"/>
        <v/>
      </c>
      <c r="C31" s="461" t="str">
        <f t="shared" ca="1" si="1"/>
        <v/>
      </c>
      <c r="D31" s="195">
        <f t="shared" ca="1" si="2"/>
        <v>0</v>
      </c>
      <c r="E31" s="196">
        <f t="shared" ca="1" si="3"/>
        <v>0</v>
      </c>
      <c r="F31" s="191">
        <f ca="1">IF(AND(H31&gt;=startdag,H31&lt;=slutdag),IF(TODAY()&gt;=H31,Normtid!D22,0),0)</f>
        <v>0</v>
      </c>
      <c r="G31" s="403"/>
      <c r="H31" s="189">
        <f>Normtid!C22</f>
        <v>43847</v>
      </c>
      <c r="I31" s="218" t="str">
        <f t="shared" si="4"/>
        <v>Tor</v>
      </c>
      <c r="J31" s="202"/>
      <c r="K31" s="202"/>
      <c r="L31" s="202"/>
      <c r="M31" s="202"/>
      <c r="N31" s="383"/>
      <c r="O31" s="194" t="str">
        <f>Normtid!$E22</f>
        <v/>
      </c>
      <c r="P31" s="196">
        <f t="shared" ca="1" si="5"/>
        <v>0</v>
      </c>
    </row>
    <row r="32" spans="2:18" ht="15.75" customHeight="1">
      <c r="B32" s="462" t="str">
        <f t="shared" ca="1" si="0"/>
        <v/>
      </c>
      <c r="C32" s="463" t="str">
        <f t="shared" ca="1" si="1"/>
        <v/>
      </c>
      <c r="D32" s="388">
        <f t="shared" ca="1" si="2"/>
        <v>0</v>
      </c>
      <c r="E32" s="188">
        <f t="shared" ca="1" si="3"/>
        <v>0</v>
      </c>
      <c r="F32" s="183">
        <f ca="1">IF(AND(H32&gt;=startdag,H32&lt;=slutdag),IF(TODAY()&gt;=H32,Normtid!D23,0),0)</f>
        <v>0</v>
      </c>
      <c r="G32" s="403"/>
      <c r="H32" s="181">
        <f>Normtid!C23</f>
        <v>43848</v>
      </c>
      <c r="I32" s="219" t="str">
        <f t="shared" si="4"/>
        <v>Fre</v>
      </c>
      <c r="J32" s="204"/>
      <c r="K32" s="204"/>
      <c r="L32" s="204"/>
      <c r="M32" s="204"/>
      <c r="N32" s="379"/>
      <c r="O32" s="186" t="str">
        <f>Normtid!$E23</f>
        <v/>
      </c>
      <c r="P32" s="188">
        <f t="shared" ca="1" si="5"/>
        <v>0</v>
      </c>
    </row>
    <row r="33" spans="1:16" ht="15.75" customHeight="1">
      <c r="B33" s="460" t="str">
        <f t="shared" ca="1" si="0"/>
        <v/>
      </c>
      <c r="C33" s="461" t="str">
        <f t="shared" ca="1" si="1"/>
        <v/>
      </c>
      <c r="D33" s="195">
        <f t="shared" ca="1" si="2"/>
        <v>0</v>
      </c>
      <c r="E33" s="196">
        <f t="shared" ca="1" si="3"/>
        <v>0</v>
      </c>
      <c r="F33" s="191">
        <f ca="1">IF(AND(H33&gt;=startdag,H33&lt;=slutdag),IF(TODAY()&gt;=H33,Normtid!D24,0),0)</f>
        <v>0</v>
      </c>
      <c r="G33" s="403"/>
      <c r="H33" s="189">
        <f>Normtid!C24</f>
        <v>43849</v>
      </c>
      <c r="I33" s="218" t="str">
        <f t="shared" si="4"/>
        <v>Lör</v>
      </c>
      <c r="J33" s="202"/>
      <c r="K33" s="202"/>
      <c r="L33" s="202"/>
      <c r="M33" s="202"/>
      <c r="N33" s="383"/>
      <c r="O33" s="194" t="str">
        <f>Normtid!$E24</f>
        <v/>
      </c>
      <c r="P33" s="196">
        <f t="shared" ca="1" si="5"/>
        <v>0</v>
      </c>
    </row>
    <row r="34" spans="1:16" ht="15.75" customHeight="1">
      <c r="B34" s="462" t="str">
        <f t="shared" ca="1" si="0"/>
        <v/>
      </c>
      <c r="C34" s="463" t="str">
        <f t="shared" ca="1" si="1"/>
        <v/>
      </c>
      <c r="D34" s="388">
        <f t="shared" ca="1" si="2"/>
        <v>0</v>
      </c>
      <c r="E34" s="188">
        <f t="shared" ca="1" si="3"/>
        <v>0</v>
      </c>
      <c r="F34" s="183">
        <f ca="1">IF(AND(H34&gt;=startdag,H34&lt;=slutdag),IF(TODAY()&gt;=H34,Normtid!D25,0),0)</f>
        <v>0</v>
      </c>
      <c r="G34" s="403"/>
      <c r="H34" s="181">
        <f>Normtid!C25</f>
        <v>43850</v>
      </c>
      <c r="I34" s="219" t="str">
        <f t="shared" si="4"/>
        <v>Sön</v>
      </c>
      <c r="J34" s="204"/>
      <c r="K34" s="204"/>
      <c r="L34" s="204"/>
      <c r="M34" s="204"/>
      <c r="N34" s="379"/>
      <c r="O34" s="186" t="str">
        <f>Normtid!$E25</f>
        <v/>
      </c>
      <c r="P34" s="188">
        <f t="shared" ca="1" si="5"/>
        <v>0</v>
      </c>
    </row>
    <row r="35" spans="1:16" ht="15.75" customHeight="1">
      <c r="B35" s="460" t="str">
        <f t="shared" ca="1" si="0"/>
        <v/>
      </c>
      <c r="C35" s="461" t="str">
        <f t="shared" ca="1" si="1"/>
        <v/>
      </c>
      <c r="D35" s="195">
        <f t="shared" ca="1" si="2"/>
        <v>0</v>
      </c>
      <c r="E35" s="196">
        <f t="shared" ca="1" si="3"/>
        <v>0</v>
      </c>
      <c r="F35" s="191">
        <f ca="1">IF(AND(H35&gt;=startdag,H35&lt;=slutdag),IF(TODAY()&gt;=H35,Normtid!D26,0),0)</f>
        <v>0</v>
      </c>
      <c r="G35" s="403"/>
      <c r="H35" s="189">
        <f>Normtid!C26</f>
        <v>43851</v>
      </c>
      <c r="I35" s="218" t="str">
        <f t="shared" si="4"/>
        <v>Mån</v>
      </c>
      <c r="J35" s="202"/>
      <c r="K35" s="202"/>
      <c r="L35" s="202"/>
      <c r="M35" s="202"/>
      <c r="N35" s="383"/>
      <c r="O35" s="194" t="str">
        <f>Normtid!$E26</f>
        <v/>
      </c>
      <c r="P35" s="196">
        <f t="shared" ca="1" si="5"/>
        <v>0</v>
      </c>
    </row>
    <row r="36" spans="1:16" ht="15.75" customHeight="1">
      <c r="B36" s="462" t="str">
        <f t="shared" ca="1" si="0"/>
        <v/>
      </c>
      <c r="C36" s="463" t="str">
        <f t="shared" ca="1" si="1"/>
        <v/>
      </c>
      <c r="D36" s="388">
        <f t="shared" ca="1" si="2"/>
        <v>0</v>
      </c>
      <c r="E36" s="188">
        <f t="shared" ca="1" si="3"/>
        <v>0</v>
      </c>
      <c r="F36" s="183">
        <f ca="1">IF(AND(H36&gt;=startdag,H36&lt;=slutdag),IF(TODAY()&gt;=H36,Normtid!D27,0),0)</f>
        <v>0</v>
      </c>
      <c r="G36" s="403"/>
      <c r="H36" s="181">
        <f>Normtid!C27</f>
        <v>43852</v>
      </c>
      <c r="I36" s="219" t="str">
        <f t="shared" si="4"/>
        <v>Tis</v>
      </c>
      <c r="J36" s="204"/>
      <c r="K36" s="204"/>
      <c r="L36" s="204"/>
      <c r="M36" s="204"/>
      <c r="N36" s="379"/>
      <c r="O36" s="186" t="str">
        <f>Normtid!$E27</f>
        <v/>
      </c>
      <c r="P36" s="188">
        <f t="shared" ca="1" si="5"/>
        <v>0</v>
      </c>
    </row>
    <row r="37" spans="1:16" ht="15.75" customHeight="1">
      <c r="B37" s="460" t="str">
        <f t="shared" ca="1" si="0"/>
        <v/>
      </c>
      <c r="C37" s="461" t="str">
        <f t="shared" ca="1" si="1"/>
        <v/>
      </c>
      <c r="D37" s="195">
        <f t="shared" ca="1" si="2"/>
        <v>0</v>
      </c>
      <c r="E37" s="196">
        <f t="shared" ca="1" si="3"/>
        <v>0</v>
      </c>
      <c r="F37" s="191">
        <f ca="1">IF(AND(H37&gt;=startdag,H37&lt;=slutdag),IF(TODAY()&gt;=H37,Normtid!D28,0),0)</f>
        <v>0</v>
      </c>
      <c r="G37" s="403"/>
      <c r="H37" s="189">
        <f>Normtid!C28</f>
        <v>43853</v>
      </c>
      <c r="I37" s="218" t="str">
        <f t="shared" si="4"/>
        <v>Ons</v>
      </c>
      <c r="J37" s="202"/>
      <c r="K37" s="202"/>
      <c r="L37" s="202"/>
      <c r="M37" s="202"/>
      <c r="N37" s="383"/>
      <c r="O37" s="194" t="str">
        <f>Normtid!$E28</f>
        <v/>
      </c>
      <c r="P37" s="196">
        <f t="shared" ca="1" si="5"/>
        <v>0</v>
      </c>
    </row>
    <row r="38" spans="1:16" ht="15.75" customHeight="1">
      <c r="B38" s="462" t="str">
        <f t="shared" ca="1" si="0"/>
        <v/>
      </c>
      <c r="C38" s="463" t="str">
        <f t="shared" ca="1" si="1"/>
        <v/>
      </c>
      <c r="D38" s="388">
        <f t="shared" ca="1" si="2"/>
        <v>0</v>
      </c>
      <c r="E38" s="188">
        <f t="shared" ca="1" si="3"/>
        <v>0</v>
      </c>
      <c r="F38" s="183">
        <f ca="1">IF(AND(H38&gt;=startdag,H38&lt;=slutdag),IF(TODAY()&gt;=H38,Normtid!D29,0),0)</f>
        <v>0</v>
      </c>
      <c r="G38" s="403"/>
      <c r="H38" s="181">
        <f>Normtid!C29</f>
        <v>43854</v>
      </c>
      <c r="I38" s="219" t="str">
        <f t="shared" si="4"/>
        <v>Tor</v>
      </c>
      <c r="J38" s="204"/>
      <c r="K38" s="204"/>
      <c r="L38" s="204"/>
      <c r="M38" s="204"/>
      <c r="N38" s="379"/>
      <c r="O38" s="186" t="str">
        <f>Normtid!$E29</f>
        <v/>
      </c>
      <c r="P38" s="188">
        <f t="shared" ca="1" si="5"/>
        <v>0</v>
      </c>
    </row>
    <row r="39" spans="1:16" ht="15.75" customHeight="1">
      <c r="B39" s="460" t="str">
        <f t="shared" ca="1" si="0"/>
        <v/>
      </c>
      <c r="C39" s="461" t="str">
        <f t="shared" ca="1" si="1"/>
        <v/>
      </c>
      <c r="D39" s="195">
        <f t="shared" ca="1" si="2"/>
        <v>0</v>
      </c>
      <c r="E39" s="196">
        <f t="shared" ca="1" si="3"/>
        <v>0</v>
      </c>
      <c r="F39" s="191">
        <f ca="1">IF(AND(H39&gt;=startdag,H39&lt;=slutdag),IF(TODAY()&gt;=H39,Normtid!D30,0),0)</f>
        <v>0</v>
      </c>
      <c r="G39" s="403"/>
      <c r="H39" s="189">
        <f>Normtid!C30</f>
        <v>43855</v>
      </c>
      <c r="I39" s="218" t="str">
        <f t="shared" si="4"/>
        <v>Fre</v>
      </c>
      <c r="J39" s="202"/>
      <c r="K39" s="202"/>
      <c r="L39" s="202"/>
      <c r="M39" s="202"/>
      <c r="N39" s="383"/>
      <c r="O39" s="194" t="str">
        <f>Normtid!$E30</f>
        <v/>
      </c>
      <c r="P39" s="196">
        <f t="shared" ca="1" si="5"/>
        <v>0</v>
      </c>
    </row>
    <row r="40" spans="1:16" ht="15.75" customHeight="1">
      <c r="B40" s="462" t="str">
        <f t="shared" ca="1" si="0"/>
        <v/>
      </c>
      <c r="C40" s="463" t="str">
        <f t="shared" ca="1" si="1"/>
        <v/>
      </c>
      <c r="D40" s="388">
        <f t="shared" ca="1" si="2"/>
        <v>0</v>
      </c>
      <c r="E40" s="188">
        <f t="shared" ca="1" si="3"/>
        <v>0</v>
      </c>
      <c r="F40" s="183">
        <f ca="1">IF(AND(H40&gt;=startdag,H40&lt;=slutdag),IF(TODAY()&gt;=H40,Normtid!D31,0),0)</f>
        <v>0</v>
      </c>
      <c r="G40" s="403"/>
      <c r="H40" s="181">
        <f>Normtid!C31</f>
        <v>43856</v>
      </c>
      <c r="I40" s="219" t="str">
        <f t="shared" si="4"/>
        <v>Lör</v>
      </c>
      <c r="J40" s="204"/>
      <c r="K40" s="204"/>
      <c r="L40" s="204"/>
      <c r="M40" s="204"/>
      <c r="N40" s="379"/>
      <c r="O40" s="186" t="str">
        <f>Normtid!$E31</f>
        <v/>
      </c>
      <c r="P40" s="188">
        <f t="shared" ca="1" si="5"/>
        <v>0</v>
      </c>
    </row>
    <row r="41" spans="1:16" ht="15.75" customHeight="1">
      <c r="B41" s="460" t="str">
        <f t="shared" ca="1" si="0"/>
        <v/>
      </c>
      <c r="C41" s="461" t="str">
        <f t="shared" ca="1" si="1"/>
        <v/>
      </c>
      <c r="D41" s="195">
        <f t="shared" ca="1" si="2"/>
        <v>0</v>
      </c>
      <c r="E41" s="196">
        <f t="shared" ca="1" si="3"/>
        <v>0</v>
      </c>
      <c r="F41" s="191">
        <f ca="1">IF(AND(H41&gt;=startdag,H41&lt;=slutdag),IF(TODAY()&gt;=H41,Normtid!D32,0),0)</f>
        <v>0</v>
      </c>
      <c r="G41" s="403"/>
      <c r="H41" s="189">
        <f>Normtid!C32</f>
        <v>43857</v>
      </c>
      <c r="I41" s="218" t="str">
        <f t="shared" si="4"/>
        <v>Sön</v>
      </c>
      <c r="J41" s="202"/>
      <c r="K41" s="202"/>
      <c r="L41" s="202"/>
      <c r="M41" s="202"/>
      <c r="N41" s="383"/>
      <c r="O41" s="194" t="str">
        <f>Normtid!$E32</f>
        <v/>
      </c>
      <c r="P41" s="196">
        <f t="shared" ca="1" si="5"/>
        <v>0</v>
      </c>
    </row>
    <row r="42" spans="1:16" ht="15.75" customHeight="1">
      <c r="B42" s="462" t="str">
        <f t="shared" ca="1" si="0"/>
        <v/>
      </c>
      <c r="C42" s="463" t="str">
        <f t="shared" ca="1" si="1"/>
        <v/>
      </c>
      <c r="D42" s="388">
        <f t="shared" ca="1" si="2"/>
        <v>0</v>
      </c>
      <c r="E42" s="188">
        <f t="shared" ca="1" si="3"/>
        <v>0</v>
      </c>
      <c r="F42" s="183">
        <f ca="1">IF(AND(H42&gt;=startdag,H42&lt;=slutdag),IF(TODAY()&gt;=H42,Normtid!D33,0),0)</f>
        <v>0</v>
      </c>
      <c r="G42" s="403"/>
      <c r="H42" s="181">
        <f>Normtid!C33</f>
        <v>43858</v>
      </c>
      <c r="I42" s="219" t="str">
        <f t="shared" si="4"/>
        <v>Mån</v>
      </c>
      <c r="J42" s="204"/>
      <c r="K42" s="204"/>
      <c r="L42" s="204"/>
      <c r="M42" s="204"/>
      <c r="N42" s="379"/>
      <c r="O42" s="186" t="str">
        <f>Normtid!$E33</f>
        <v/>
      </c>
      <c r="P42" s="188">
        <f t="shared" ca="1" si="5"/>
        <v>0</v>
      </c>
    </row>
    <row r="43" spans="1:16" ht="15.75" customHeight="1">
      <c r="B43" s="460" t="str">
        <f t="shared" ca="1" si="0"/>
        <v/>
      </c>
      <c r="C43" s="461" t="str">
        <f t="shared" ca="1" si="1"/>
        <v/>
      </c>
      <c r="D43" s="195">
        <f t="shared" ca="1" si="2"/>
        <v>0</v>
      </c>
      <c r="E43" s="196">
        <f t="shared" ca="1" si="3"/>
        <v>0</v>
      </c>
      <c r="F43" s="191">
        <f ca="1">IF(AND(H43&gt;=startdag,H43&lt;=slutdag),IF(TODAY()&gt;=H43,Normtid!D34,0),0)</f>
        <v>0</v>
      </c>
      <c r="G43" s="403"/>
      <c r="H43" s="189">
        <f>Normtid!C34</f>
        <v>43859</v>
      </c>
      <c r="I43" s="218" t="str">
        <f t="shared" si="4"/>
        <v>Tis</v>
      </c>
      <c r="J43" s="202"/>
      <c r="K43" s="202"/>
      <c r="L43" s="202"/>
      <c r="M43" s="202"/>
      <c r="N43" s="383"/>
      <c r="O43" s="194" t="str">
        <f>Normtid!$E34</f>
        <v/>
      </c>
      <c r="P43" s="196">
        <f t="shared" ca="1" si="5"/>
        <v>0</v>
      </c>
    </row>
    <row r="44" spans="1:16" ht="15.75" customHeight="1">
      <c r="B44" s="464" t="str">
        <f t="shared" ca="1" si="0"/>
        <v/>
      </c>
      <c r="C44" s="465" t="str">
        <f t="shared" ca="1" si="1"/>
        <v/>
      </c>
      <c r="D44" s="389">
        <f t="shared" ca="1" si="2"/>
        <v>0</v>
      </c>
      <c r="E44" s="91">
        <f t="shared" ca="1" si="3"/>
        <v>0</v>
      </c>
      <c r="F44" s="220">
        <f ca="1">IF(AND(H44&gt;=startdag,H44&lt;=slutdag),IF(TODAY()&gt;=H44,Normtid!D35,0),0)</f>
        <v>0</v>
      </c>
      <c r="G44" s="403"/>
      <c r="H44" s="45">
        <f>Normtid!C35</f>
        <v>43860</v>
      </c>
      <c r="I44" s="46" t="str">
        <f t="shared" si="4"/>
        <v>Ons</v>
      </c>
      <c r="J44" s="48"/>
      <c r="K44" s="48"/>
      <c r="L44" s="48"/>
      <c r="M44" s="49"/>
      <c r="N44" s="382"/>
      <c r="O44" s="102" t="str">
        <f>Normtid!$E35</f>
        <v/>
      </c>
      <c r="P44" s="91">
        <f t="shared" ca="1" si="5"/>
        <v>0</v>
      </c>
    </row>
    <row r="45" spans="1:16" ht="15.75" customHeight="1" thickBot="1">
      <c r="A45" s="30"/>
      <c r="B45" s="17"/>
      <c r="C45" s="336"/>
      <c r="D45" s="80"/>
      <c r="E45" s="80"/>
      <c r="F45" s="80"/>
      <c r="G45" s="80"/>
      <c r="H45" s="80"/>
      <c r="I45" s="80"/>
      <c r="J45" s="81"/>
      <c r="K45" s="80"/>
      <c r="L45" s="80"/>
      <c r="M45" s="80"/>
      <c r="N45" s="80"/>
      <c r="O45" s="80"/>
      <c r="P45" s="80"/>
    </row>
    <row r="46" spans="1:16" ht="12.9">
      <c r="A46" s="548" t="str">
        <f>Felinfo!H10</f>
        <v>Flex 99:03C • huk-51 • ©</v>
      </c>
      <c r="C46" s="314"/>
      <c r="D46" s="64"/>
      <c r="E46" s="64"/>
      <c r="F46" s="17"/>
      <c r="G46" s="17"/>
      <c r="H46" s="51" t="str">
        <f ca="1">"Summa arbetad tid"&amp;IF(MONTH(H14)=MONTH(TODAY())," t o m ""i dag""","")</f>
        <v>Summa arbetad tid</v>
      </c>
      <c r="I46" s="52"/>
      <c r="J46" s="53"/>
      <c r="K46" s="53"/>
      <c r="L46" s="53"/>
      <c r="M46" s="53"/>
      <c r="N46" s="54"/>
      <c r="O46" s="52"/>
      <c r="P46" s="197">
        <f ca="1">IF(TODAY()&gt;=H14,SUMIF(P14:P44,"&gt;0"),0)</f>
        <v>0</v>
      </c>
    </row>
    <row r="47" spans="1:16" ht="14.25" customHeight="1">
      <c r="A47" s="555"/>
      <c r="C47" s="314"/>
      <c r="D47" s="60"/>
      <c r="E47" s="60"/>
      <c r="F47" s="17"/>
      <c r="G47" s="17"/>
      <c r="H47" s="56" t="str">
        <f ca="1">IF(MONTH(H14)=MONTH(TODAY()),"Månadens normalarbetstid t o m idag","Normalarbetstid för månaden")&amp;IF(AND(MONTH(TODAY())&gt;=MONTH(H14),N8&lt;&gt;1)," (normtid "&amp;SUM(F14:F44)&amp;" tim * tjänsteomfattning "&amp;TEXT(N8*1000,"## %)"),"")</f>
        <v>Normalarbetstid för månaden</v>
      </c>
      <c r="I47" s="17"/>
      <c r="J47" s="57"/>
      <c r="K47" s="57"/>
      <c r="L47" s="57"/>
      <c r="M47" s="57"/>
      <c r="N47" s="58"/>
      <c r="O47" s="59"/>
      <c r="P47" s="198">
        <f ca="1">IF(AND(TODAY()&gt;=H14,MONTH(H14)&gt;=MONTH(Grunddata!C22)),SUM(F14:F44)*N8,0)</f>
        <v>0</v>
      </c>
    </row>
    <row r="48" spans="1:16" ht="14.25" customHeight="1">
      <c r="A48" s="555"/>
      <c r="C48" s="314"/>
      <c r="D48" s="64"/>
      <c r="E48" s="64"/>
      <c r="F48" s="17"/>
      <c r="G48" s="17"/>
      <c r="H48" s="56" t="s">
        <v>35</v>
      </c>
      <c r="I48" s="17"/>
      <c r="J48" s="57"/>
      <c r="K48" s="61"/>
      <c r="L48" s="62"/>
      <c r="M48" s="63"/>
      <c r="N48" s="63"/>
      <c r="O48" s="63"/>
      <c r="P48" s="308">
        <f ca="1">IF(TODAY()&gt;=H14,IF(AND(MONTH(H14)=MONTH(Grunddata!C22),flyttsaldo&lt;&gt;0),flyttsaldo,0),0)</f>
        <v>0</v>
      </c>
    </row>
    <row r="49" spans="1:16" ht="14.25" customHeight="1">
      <c r="A49" s="555"/>
      <c r="C49" s="314"/>
      <c r="D49" s="64"/>
      <c r="E49" s="64"/>
      <c r="F49" s="17"/>
      <c r="G49" s="17"/>
      <c r="H49" s="56" t="str">
        <f>IF(tjänst=1,"Över","Mer")&amp;"tidstimmar (ersättning utbetalad med "&amp;TEXT(H14,"MMMM")&amp;"lönen)"</f>
        <v>Övertidstimmar (ersättning utbetalad med januarilönen)</v>
      </c>
      <c r="I49" s="17"/>
      <c r="J49" s="57"/>
      <c r="K49" s="61"/>
      <c r="L49" s="62"/>
      <c r="M49" s="63"/>
      <c r="N49" s="63"/>
      <c r="O49" s="63"/>
      <c r="P49" s="372"/>
    </row>
    <row r="50" spans="1:16" ht="14.25" customHeight="1">
      <c r="A50" s="555"/>
      <c r="C50" s="314"/>
      <c r="D50" s="64"/>
      <c r="E50" s="64"/>
      <c r="F50" s="17"/>
      <c r="G50" s="17"/>
      <c r="H50" s="65" t="str">
        <f ca="1">IF(MONTH(H14)=MONTH(TODAY()),"Dagens saldo +/-","Nytt saldo +/-")</f>
        <v>Nytt saldo +/-</v>
      </c>
      <c r="I50" s="66"/>
      <c r="J50" s="67"/>
      <c r="K50" s="68"/>
      <c r="L50" s="69"/>
      <c r="M50" s="69"/>
      <c r="N50" s="69"/>
      <c r="O50" s="69"/>
      <c r="P50" s="469">
        <f ca="1">IF(TODAY()&gt;=H14,P46-P47+P48-ABS(P49),0)</f>
        <v>0</v>
      </c>
    </row>
    <row r="51" spans="1:16" ht="14.25" customHeight="1" thickBot="1">
      <c r="A51" s="555"/>
      <c r="C51" s="314"/>
      <c r="D51" s="64"/>
      <c r="E51" s="64"/>
      <c r="F51" s="17"/>
      <c r="G51" s="17"/>
      <c r="H51" s="71" t="s">
        <v>29</v>
      </c>
      <c r="I51" s="72"/>
      <c r="J51" s="73"/>
      <c r="K51" s="74">
        <f ca="1">IF(L51&gt;0,"månadens: ",)</f>
        <v>0</v>
      </c>
      <c r="L51" s="75">
        <f ca="1">MOD(SUM(D14:D44),100)</f>
        <v>0</v>
      </c>
      <c r="M51" s="76">
        <f ca="1">IF(N51&gt;0,"årets: ",)</f>
        <v>0</v>
      </c>
      <c r="N51" s="75">
        <f ca="1">'2024'!K14</f>
        <v>0</v>
      </c>
      <c r="O51" s="77" t="str">
        <f ca="1">"  kvarstående:  "&amp;'2024'!$L14</f>
        <v xml:space="preserve">  kvarstående:  0</v>
      </c>
      <c r="P51" s="468"/>
    </row>
    <row r="52" spans="1:16" ht="12" customHeight="1">
      <c r="A52" s="555"/>
      <c r="C52" s="314"/>
      <c r="F52" s="466"/>
      <c r="G52" s="466"/>
      <c r="H52" s="427" t="s">
        <v>75</v>
      </c>
      <c r="I52" s="428"/>
      <c r="J52" s="429"/>
      <c r="K52" s="430" t="s">
        <v>27</v>
      </c>
      <c r="L52" s="431"/>
      <c r="M52" s="431"/>
      <c r="N52" s="432"/>
      <c r="O52" s="433"/>
      <c r="P52" s="434"/>
    </row>
    <row r="53" spans="1:16" ht="27.75" customHeight="1" thickBot="1">
      <c r="A53" s="555"/>
      <c r="F53" s="467"/>
      <c r="G53" s="467"/>
      <c r="H53" s="561"/>
      <c r="I53" s="562"/>
      <c r="J53" s="563"/>
      <c r="K53" s="7"/>
      <c r="L53" s="7"/>
      <c r="M53" s="7"/>
      <c r="N53" s="9"/>
      <c r="O53" s="3"/>
      <c r="P53" s="4"/>
    </row>
    <row r="54" spans="1:16" ht="12" customHeight="1" thickBot="1">
      <c r="A54" s="337"/>
    </row>
    <row r="55" spans="1:16" ht="12" customHeight="1">
      <c r="A55" s="337"/>
      <c r="F55" s="125"/>
      <c r="G55" s="125"/>
      <c r="H55" s="5" t="s">
        <v>19</v>
      </c>
      <c r="I55" s="5"/>
      <c r="J55" s="427" t="s">
        <v>75</v>
      </c>
      <c r="K55" s="429"/>
      <c r="L55" s="430" t="s">
        <v>26</v>
      </c>
      <c r="M55" s="431"/>
      <c r="N55" s="432"/>
      <c r="O55" s="433"/>
      <c r="P55" s="435"/>
    </row>
    <row r="56" spans="1:16" ht="27.75" customHeight="1" thickBot="1">
      <c r="A56" s="337"/>
      <c r="F56" s="125"/>
      <c r="G56" s="125"/>
      <c r="J56" s="11"/>
      <c r="K56" s="10"/>
      <c r="L56" s="7"/>
      <c r="M56" s="7"/>
      <c r="N56" s="9"/>
      <c r="O56" s="3"/>
      <c r="P56" s="4"/>
    </row>
    <row r="59" spans="1:16" s="166" customFormat="1">
      <c r="A59" s="284"/>
      <c r="B59" s="318"/>
      <c r="C59" s="318"/>
      <c r="D59" s="64"/>
      <c r="E59" s="64"/>
      <c r="F59" s="17"/>
      <c r="G59" s="17"/>
      <c r="J59" s="178"/>
      <c r="K59" s="178"/>
      <c r="L59" s="178"/>
      <c r="M59" s="178"/>
      <c r="N59" s="179"/>
    </row>
    <row r="60" spans="1:16" s="166" customFormat="1">
      <c r="A60" s="284"/>
      <c r="B60" s="318"/>
      <c r="C60" s="318"/>
      <c r="D60" s="64"/>
      <c r="E60" s="64"/>
      <c r="F60" s="17"/>
      <c r="G60" s="17"/>
      <c r="H60" s="173"/>
      <c r="J60" s="178"/>
      <c r="K60" s="178"/>
      <c r="L60" s="178"/>
      <c r="M60" s="178"/>
      <c r="N60" s="179"/>
    </row>
    <row r="61" spans="1:16" s="166" customFormat="1">
      <c r="A61" s="284"/>
      <c r="B61" s="318"/>
      <c r="C61" s="318"/>
      <c r="D61" s="64"/>
      <c r="E61" s="64"/>
      <c r="F61" s="17"/>
      <c r="G61" s="17"/>
      <c r="J61" s="178"/>
      <c r="K61" s="178"/>
      <c r="L61" s="178"/>
      <c r="M61" s="178"/>
      <c r="N61" s="179"/>
    </row>
    <row r="62" spans="1:16" s="166" customFormat="1">
      <c r="A62" s="284"/>
      <c r="B62" s="318"/>
      <c r="C62" s="318"/>
      <c r="D62" s="64"/>
      <c r="E62" s="64"/>
      <c r="F62" s="17"/>
      <c r="G62" s="17"/>
      <c r="J62" s="178"/>
      <c r="K62" s="178"/>
      <c r="L62" s="178"/>
      <c r="M62" s="178"/>
      <c r="N62" s="179"/>
    </row>
  </sheetData>
  <sheetProtection password="C38D" sheet="1" objects="1" scenarios="1"/>
  <mergeCells count="4">
    <mergeCell ref="J13:O13"/>
    <mergeCell ref="A46:A53"/>
    <mergeCell ref="B10:C10"/>
    <mergeCell ref="H53:J53"/>
  </mergeCells>
  <phoneticPr fontId="0" type="noConversion"/>
  <conditionalFormatting sqref="A14">
    <cfRule type="cellIs" dxfId="24" priority="3" stopIfTrue="1" operator="greaterThan">
      <formula>0</formula>
    </cfRule>
  </conditionalFormatting>
  <conditionalFormatting sqref="K45 M48 L49">
    <cfRule type="cellIs" dxfId="23" priority="1" stopIfTrue="1" operator="greaterThan">
      <formula>0</formula>
    </cfRule>
  </conditionalFormatting>
  <conditionalFormatting sqref="O14:O44">
    <cfRule type="cellIs" dxfId="22" priority="2" stopIfTrue="1" operator="between">
      <formula>"-"</formula>
      <formula>"0"</formula>
    </cfRule>
  </conditionalFormatting>
  <dataValidations xWindow="120" yWindow="262" count="2">
    <dataValidation allowBlank="1" showInputMessage="1" showErrorMessage="1" error="Timme och minut måste skiljas med_x000a_- kolon på pc_x000a_- punkt på Mac" sqref="L5 K14:M44 J14 J21:J44 J19" xr:uid="{00000000-0002-0000-0600-000000000000}"/>
    <dataValidation allowBlank="1" showInputMessage="1" showErrorMessage="1" error="Timme och minut måste skiljas med_x000a_- kolon på pc_x000a_- punkt på Mac" promptTitle="Timme och minut" prompt="skiljs åt av kolon (pc)_x000a_resp punkt (Mac)" sqref="J15:J18 J20" xr:uid="{00000000-0002-0000-0600-000001000000}"/>
  </dataValidations>
  <printOptions verticalCentered="1"/>
  <pageMargins left="0.6692913385826772" right="0.47244094488188981" top="0.78740157480314965" bottom="0.62992125984251968" header="0.51181102362204722" footer="0.51181102362204722"/>
  <pageSetup paperSize="9" scale="86" orientation="portrait" blackAndWhite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4227124">
    <pageSetUpPr fitToPage="1"/>
  </sheetPr>
  <dimension ref="A1:Q65"/>
  <sheetViews>
    <sheetView showGridLines="0" showRowColHeaders="0" showZeros="0" topLeftCell="A9" zoomScale="80" workbookViewId="0">
      <pane ySplit="5" topLeftCell="A14" activePane="bottomLeft" state="frozenSplit"/>
      <selection activeCell="A9" sqref="A1:A65536"/>
      <selection pane="bottomLeft" activeCell="J14" sqref="J14"/>
    </sheetView>
  </sheetViews>
  <sheetFormatPr defaultColWidth="11.3828125" defaultRowHeight="12.45"/>
  <cols>
    <col min="1" max="1" width="2.84375" style="269" customWidth="1"/>
    <col min="2" max="2" width="8.84375" style="318" hidden="1" customWidth="1"/>
    <col min="3" max="3" width="4.53515625" style="320" hidden="1" customWidth="1"/>
    <col min="4" max="4" width="11" style="354" hidden="1" customWidth="1"/>
    <col min="5" max="5" width="8.3828125" style="354" hidden="1" customWidth="1"/>
    <col min="6" max="6" width="7.15234375" style="30" hidden="1" customWidth="1"/>
    <col min="7" max="7" width="1.53515625" style="30" hidden="1" customWidth="1"/>
    <col min="8" max="8" width="4.07421875" style="1" customWidth="1"/>
    <col min="9" max="9" width="8" style="1" bestFit="1" customWidth="1"/>
    <col min="10" max="13" width="8.15234375" style="6" customWidth="1"/>
    <col min="14" max="14" width="11.07421875" style="8" customWidth="1"/>
    <col min="15" max="15" width="36.15234375" style="1" customWidth="1"/>
    <col min="16" max="16" width="11.15234375" style="1" customWidth="1"/>
    <col min="17" max="16384" width="11.3828125" style="1"/>
  </cols>
  <sheetData>
    <row r="1" spans="1:16" s="12" customFormat="1" ht="16" customHeight="1">
      <c r="A1" s="21" t="s">
        <v>30</v>
      </c>
      <c r="B1" s="315"/>
      <c r="C1" s="315"/>
      <c r="D1" s="272"/>
      <c r="E1" s="272"/>
      <c r="F1" s="272"/>
      <c r="G1" s="272"/>
      <c r="P1" s="174" t="s">
        <v>31</v>
      </c>
    </row>
    <row r="2" spans="1:16" s="115" customFormat="1" ht="14.25" customHeight="1">
      <c r="A2" s="145">
        <f>inst</f>
        <v>0</v>
      </c>
      <c r="B2" s="317"/>
      <c r="C2" s="317"/>
      <c r="D2" s="145"/>
      <c r="E2" s="145"/>
      <c r="F2" s="145"/>
      <c r="G2" s="145"/>
    </row>
    <row r="3" spans="1:16" s="166" customFormat="1" ht="15.75" customHeight="1">
      <c r="A3" s="17"/>
      <c r="B3" s="318"/>
      <c r="C3" s="318"/>
      <c r="D3" s="17"/>
      <c r="E3" s="17"/>
      <c r="F3" s="17"/>
      <c r="G3" s="17"/>
      <c r="L3" s="175"/>
    </row>
    <row r="4" spans="1:16" s="166" customFormat="1" ht="15.75" customHeight="1">
      <c r="A4" s="17"/>
      <c r="B4" s="318"/>
      <c r="C4" s="318"/>
      <c r="D4" s="176"/>
      <c r="E4" s="176"/>
      <c r="F4" s="17"/>
      <c r="G4" s="17"/>
      <c r="H4" s="17"/>
      <c r="I4" s="17"/>
      <c r="J4" s="17"/>
      <c r="K4" s="17"/>
      <c r="L4" s="17"/>
      <c r="M4" s="17"/>
      <c r="N4" s="17"/>
      <c r="O4" s="176" t="s">
        <v>34</v>
      </c>
      <c r="P4" s="32">
        <f>H14</f>
        <v>43861</v>
      </c>
    </row>
    <row r="5" spans="1:16" s="166" customFormat="1" ht="15.75" customHeight="1">
      <c r="A5" s="17"/>
      <c r="B5" s="318"/>
      <c r="C5" s="318"/>
      <c r="D5" s="176"/>
      <c r="E5" s="176"/>
      <c r="F5" s="17"/>
      <c r="G5" s="17"/>
      <c r="H5" s="17"/>
      <c r="I5" s="17"/>
      <c r="J5" s="17"/>
      <c r="K5" s="17"/>
      <c r="L5" s="17"/>
      <c r="M5" s="17"/>
      <c r="N5" s="17"/>
      <c r="O5" s="176" t="s">
        <v>33</v>
      </c>
      <c r="P5" s="33">
        <f>H14</f>
        <v>43861</v>
      </c>
    </row>
    <row r="6" spans="1:16" s="166" customFormat="1" ht="15.75" customHeight="1">
      <c r="A6" s="17"/>
      <c r="B6" s="17"/>
      <c r="C6" s="318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6" s="443" customFormat="1" ht="12.75" customHeight="1" thickBot="1">
      <c r="A7" s="481"/>
      <c r="B7" s="395"/>
      <c r="C7" s="395"/>
      <c r="D7" s="477"/>
      <c r="E7" s="477"/>
      <c r="F7" s="440"/>
      <c r="G7" s="440"/>
      <c r="H7" s="446" t="s">
        <v>73</v>
      </c>
      <c r="I7" s="441"/>
      <c r="J7" s="441"/>
      <c r="K7" s="441"/>
      <c r="L7" s="441"/>
      <c r="M7" s="441"/>
      <c r="N7" s="446" t="s">
        <v>74</v>
      </c>
      <c r="O7" s="446" t="s">
        <v>72</v>
      </c>
      <c r="P7" s="442"/>
    </row>
    <row r="8" spans="1:16" s="2" customFormat="1" ht="17.25" customHeight="1" thickBot="1">
      <c r="A8" s="269"/>
      <c r="B8" s="318"/>
      <c r="C8" s="321"/>
      <c r="D8" s="478" t="s">
        <v>120</v>
      </c>
      <c r="E8" s="392">
        <f ca="1">INT((LEN(fel_1)+LEN(fel_2)+LEN(fel_3))/60)+COUNTIF(B14:C44,"1")</f>
        <v>3</v>
      </c>
      <c r="F8" s="323"/>
      <c r="G8" s="323"/>
      <c r="H8" s="39" t="str">
        <f>IF(namn&lt;&gt;"","  "&amp;namn,"")</f>
        <v/>
      </c>
      <c r="I8" s="40"/>
      <c r="J8" s="41"/>
      <c r="K8" s="41"/>
      <c r="L8" s="41"/>
      <c r="M8" s="41"/>
      <c r="N8" s="180">
        <f>tjänst</f>
        <v>1</v>
      </c>
      <c r="O8" s="42" t="str">
        <f>IF(p_nr&lt;&gt;"","  "&amp;p_nr,"")</f>
        <v/>
      </c>
      <c r="P8" s="44"/>
    </row>
    <row r="9" spans="1:16" s="445" customFormat="1" ht="3" customHeight="1">
      <c r="A9" s="482"/>
      <c r="B9" s="454"/>
      <c r="C9" s="455"/>
      <c r="D9" s="436"/>
      <c r="E9" s="436"/>
      <c r="F9" s="436"/>
      <c r="G9" s="408"/>
      <c r="H9" s="415"/>
      <c r="I9" s="415"/>
      <c r="J9" s="415"/>
      <c r="K9" s="415"/>
      <c r="L9" s="415"/>
      <c r="M9" s="415"/>
      <c r="N9" s="416"/>
      <c r="O9" s="417"/>
      <c r="P9" s="418"/>
    </row>
    <row r="10" spans="1:16" s="444" customFormat="1" ht="12.75" customHeight="1">
      <c r="A10" s="483"/>
      <c r="B10" s="559" t="s">
        <v>135</v>
      </c>
      <c r="C10" s="560"/>
      <c r="D10" s="437" t="s">
        <v>119</v>
      </c>
      <c r="E10" s="437" t="s">
        <v>121</v>
      </c>
      <c r="F10" s="438" t="s">
        <v>116</v>
      </c>
      <c r="G10" s="390"/>
      <c r="H10" s="409" t="s">
        <v>88</v>
      </c>
      <c r="I10" s="409" t="s">
        <v>39</v>
      </c>
      <c r="J10" s="410" t="s">
        <v>14</v>
      </c>
      <c r="K10" s="410" t="s">
        <v>15</v>
      </c>
      <c r="L10" s="410" t="s">
        <v>15</v>
      </c>
      <c r="M10" s="410" t="s">
        <v>14</v>
      </c>
      <c r="N10" s="411" t="s">
        <v>145</v>
      </c>
      <c r="O10" s="409" t="s">
        <v>76</v>
      </c>
      <c r="P10" s="412" t="s">
        <v>77</v>
      </c>
    </row>
    <row r="11" spans="1:16" s="444" customFormat="1" ht="12.75" customHeight="1">
      <c r="A11" s="483"/>
      <c r="B11" s="439" t="s">
        <v>118</v>
      </c>
      <c r="C11" s="456" t="s">
        <v>101</v>
      </c>
      <c r="D11" s="437" t="s">
        <v>118</v>
      </c>
      <c r="E11" s="437" t="s">
        <v>122</v>
      </c>
      <c r="F11" s="439" t="s">
        <v>117</v>
      </c>
      <c r="G11" s="408"/>
      <c r="H11" s="409" t="s">
        <v>9</v>
      </c>
      <c r="I11" s="409" t="s">
        <v>10</v>
      </c>
      <c r="J11" s="413" t="s">
        <v>16</v>
      </c>
      <c r="K11" s="414" t="s">
        <v>16</v>
      </c>
      <c r="L11" s="414" t="s">
        <v>17</v>
      </c>
      <c r="M11" s="410" t="s">
        <v>18</v>
      </c>
      <c r="N11" s="419" t="str">
        <f ca="1">IF(INFO("system")="mac","tim.minut","tim:minut")</f>
        <v>tim:minut</v>
      </c>
      <c r="O11" s="420" t="s">
        <v>164</v>
      </c>
      <c r="P11" s="421" t="s">
        <v>161</v>
      </c>
    </row>
    <row r="12" spans="1:16" s="445" customFormat="1" ht="3" customHeight="1">
      <c r="A12" s="482"/>
      <c r="B12" s="439"/>
      <c r="C12" s="456"/>
      <c r="D12" s="439"/>
      <c r="E12" s="439"/>
      <c r="F12" s="439"/>
      <c r="G12" s="408"/>
      <c r="H12" s="409"/>
      <c r="I12" s="409"/>
      <c r="J12" s="409"/>
      <c r="K12" s="409"/>
      <c r="L12" s="409"/>
      <c r="M12" s="409"/>
      <c r="N12" s="425"/>
      <c r="O12" s="412"/>
      <c r="P12" s="426"/>
    </row>
    <row r="13" spans="1:16" s="172" customFormat="1" ht="18" customHeight="1" thickBot="1">
      <c r="A13" s="329"/>
      <c r="B13" s="449" t="s">
        <v>10</v>
      </c>
      <c r="C13" s="457" t="s">
        <v>102</v>
      </c>
      <c r="D13" s="448" t="s">
        <v>22</v>
      </c>
      <c r="E13" s="448" t="s">
        <v>123</v>
      </c>
      <c r="F13" s="449" t="s">
        <v>142</v>
      </c>
      <c r="G13" s="401"/>
      <c r="H13" s="167" t="str">
        <f>IF(LEN(J13)&gt;0,"  INFO:","")</f>
        <v xml:space="preserve">  INFO:</v>
      </c>
      <c r="I13" s="168"/>
      <c r="J13" s="544" t="str">
        <f>IF(LEN(fel_1)&gt;0,fel_1,IF(LEN(fel_2)&gt;0,fel_2,IF(LEN(fel_3)&gt;0,fel_3,IF(LEN(fel_4)&gt;0,fel_4,IF(SUMIF(B14:B44,"&gt;0"),semfel_1&amp;TEXT(VLOOKUP(1,B14:P44,7),"D MMM")&amp;semfel_2,IF(COUNTIF(C14:C44,"1"),ändr_fel,""))))))</f>
        <v>Du har glömt ange namn och/eller personnr på fliken "Grunddata"!</v>
      </c>
      <c r="K13" s="545"/>
      <c r="L13" s="545"/>
      <c r="M13" s="545"/>
      <c r="N13" s="545"/>
      <c r="O13" s="545"/>
      <c r="P13" s="171" t="str">
        <f ca="1">IF(E8&gt;1,"Tot. "&amp;E8&amp;" fel","")</f>
        <v>Tot. 3 fel</v>
      </c>
    </row>
    <row r="14" spans="1:16" ht="17.25" customHeight="1">
      <c r="A14" s="334"/>
      <c r="B14" s="479" t="str">
        <f t="shared" ref="B14:B44" ca="1" si="0">IF(AND(F14="ej sem",OR(LEFT(O14,3)="sem",LEFT(O14,4)="sjuk")),1,"")</f>
        <v/>
      </c>
      <c r="C14" s="480" t="str">
        <f t="shared" ref="C14:C44" ca="1" si="1">IF(NOT(ISERROR(E14)),"",IF(N14&lt;&gt;"",IF(ERROR.TYPE(E14)=3,1,),))</f>
        <v/>
      </c>
      <c r="D14" s="388">
        <f t="shared" ref="D14:D44" ca="1" si="2">IF(TODAY()&gt;=H14,IF(AND(LEFT(O14,3)="SEM",F14&lt;&gt;"ej sem"),1,IF(AND(LEFT(O14,4)="sjuk",F14&lt;&gt;"ej sem"),100,0)),0)</f>
        <v>0</v>
      </c>
      <c r="E14" s="381">
        <f t="shared" ref="E14:E44" ca="1" si="3">IF(AND(TODAY()&gt;=H14,F14&gt;0,OR(J14&gt;0,L14&gt;0,N14&lt;&gt;0)),((M14-L14+K14-J14)+IF(ISBLANK(N14),0,IF(LEFT(N14,1)="-",-TIMEVALUE(RIGHT(N14,LEN(N14)-1)),IF(LEFT(N14,1)="+",TIMEVALUE(RIGHT(N14,LEN(N14)-1)),TIMEVALUE(N14)))))*24,IF(OR(D14=1,D14=100),F14*tjänst,0))</f>
        <v>0</v>
      </c>
      <c r="F14" s="183">
        <f ca="1">IF(AND(H14&gt;=startdag,H14&lt;=slutdag),IF(TODAY()&gt;=H14,Normtid!G5,0),0)</f>
        <v>0</v>
      </c>
      <c r="G14" s="403"/>
      <c r="H14" s="375">
        <f>Normtid!F5</f>
        <v>43861</v>
      </c>
      <c r="I14" s="376" t="str">
        <f t="shared" ref="I14:I41" si="4">PROPER(TEXT(WEEKDAY(H14)+1,"DDD"))</f>
        <v>Tor</v>
      </c>
      <c r="J14" s="377"/>
      <c r="K14" s="377"/>
      <c r="L14" s="377"/>
      <c r="M14" s="378"/>
      <c r="N14" s="379"/>
      <c r="O14" s="205" t="str">
        <f>Normtid!H5</f>
        <v/>
      </c>
      <c r="P14" s="381">
        <f t="shared" ref="P14:P44" ca="1" si="5">IF(E14&lt;&gt;0,E14,0)</f>
        <v>0</v>
      </c>
    </row>
    <row r="15" spans="1:16" ht="15.75" customHeight="1">
      <c r="B15" s="460" t="str">
        <f t="shared" ca="1" si="0"/>
        <v/>
      </c>
      <c r="C15" s="461" t="str">
        <f t="shared" ca="1" si="1"/>
        <v/>
      </c>
      <c r="D15" s="195">
        <f t="shared" ca="1" si="2"/>
        <v>0</v>
      </c>
      <c r="E15" s="196">
        <f t="shared" ca="1" si="3"/>
        <v>0</v>
      </c>
      <c r="F15" s="191">
        <f ca="1">IF(AND(H15&gt;=startdag,H15&lt;=slutdag),IF(TODAY()&gt;=H15,Normtid!G6,0),0)</f>
        <v>0</v>
      </c>
      <c r="G15" s="403"/>
      <c r="H15" s="189">
        <f>Normtid!F6</f>
        <v>43862</v>
      </c>
      <c r="I15" s="190" t="str">
        <f t="shared" si="4"/>
        <v>Fre</v>
      </c>
      <c r="J15" s="192"/>
      <c r="K15" s="192"/>
      <c r="L15" s="192"/>
      <c r="M15" s="202"/>
      <c r="N15" s="383"/>
      <c r="O15" s="203" t="str">
        <f>Normtid!H6</f>
        <v/>
      </c>
      <c r="P15" s="196">
        <f t="shared" ca="1" si="5"/>
        <v>0</v>
      </c>
    </row>
    <row r="16" spans="1:16" ht="15.75" customHeight="1">
      <c r="B16" s="462" t="str">
        <f t="shared" ca="1" si="0"/>
        <v/>
      </c>
      <c r="C16" s="463" t="str">
        <f t="shared" ca="1" si="1"/>
        <v/>
      </c>
      <c r="D16" s="388">
        <f t="shared" ca="1" si="2"/>
        <v>0</v>
      </c>
      <c r="E16" s="188">
        <f t="shared" ca="1" si="3"/>
        <v>0</v>
      </c>
      <c r="F16" s="183">
        <f ca="1">IF(AND(H16&gt;=startdag,H16&lt;=slutdag),IF(TODAY()&gt;=H16,Normtid!G7,0),0)</f>
        <v>0</v>
      </c>
      <c r="G16" s="403"/>
      <c r="H16" s="181">
        <f>Normtid!F7</f>
        <v>43863</v>
      </c>
      <c r="I16" s="182" t="str">
        <f t="shared" si="4"/>
        <v>Lör</v>
      </c>
      <c r="J16" s="184"/>
      <c r="K16" s="184"/>
      <c r="L16" s="184"/>
      <c r="M16" s="204"/>
      <c r="N16" s="379"/>
      <c r="O16" s="205" t="str">
        <f>Normtid!H7</f>
        <v/>
      </c>
      <c r="P16" s="188">
        <f t="shared" ca="1" si="5"/>
        <v>0</v>
      </c>
    </row>
    <row r="17" spans="2:16" ht="15.75" customHeight="1">
      <c r="B17" s="460" t="str">
        <f t="shared" ca="1" si="0"/>
        <v/>
      </c>
      <c r="C17" s="461" t="str">
        <f t="shared" ca="1" si="1"/>
        <v/>
      </c>
      <c r="D17" s="195">
        <f t="shared" ca="1" si="2"/>
        <v>0</v>
      </c>
      <c r="E17" s="196">
        <f t="shared" ca="1" si="3"/>
        <v>0</v>
      </c>
      <c r="F17" s="191">
        <f ca="1">IF(AND(H17&gt;=startdag,H17&lt;=slutdag),IF(TODAY()&gt;=H17,Normtid!G8,0),0)</f>
        <v>0</v>
      </c>
      <c r="G17" s="403"/>
      <c r="H17" s="189">
        <f>Normtid!F8</f>
        <v>43864</v>
      </c>
      <c r="I17" s="190" t="str">
        <f t="shared" si="4"/>
        <v>Sön</v>
      </c>
      <c r="J17" s="192"/>
      <c r="K17" s="192"/>
      <c r="L17" s="192"/>
      <c r="M17" s="202"/>
      <c r="N17" s="383"/>
      <c r="O17" s="203" t="str">
        <f>Normtid!H8</f>
        <v/>
      </c>
      <c r="P17" s="196">
        <f t="shared" ca="1" si="5"/>
        <v>0</v>
      </c>
    </row>
    <row r="18" spans="2:16" ht="15.75" customHeight="1">
      <c r="B18" s="462" t="str">
        <f t="shared" ca="1" si="0"/>
        <v/>
      </c>
      <c r="C18" s="463" t="str">
        <f t="shared" ca="1" si="1"/>
        <v/>
      </c>
      <c r="D18" s="388">
        <f t="shared" ca="1" si="2"/>
        <v>0</v>
      </c>
      <c r="E18" s="188">
        <f t="shared" ca="1" si="3"/>
        <v>0</v>
      </c>
      <c r="F18" s="183">
        <f ca="1">IF(AND(H18&gt;=startdag,H18&lt;=slutdag),IF(TODAY()&gt;=H18,Normtid!G9,0),0)</f>
        <v>0</v>
      </c>
      <c r="G18" s="403"/>
      <c r="H18" s="181">
        <f>Normtid!F9</f>
        <v>43865</v>
      </c>
      <c r="I18" s="182" t="str">
        <f t="shared" si="4"/>
        <v>Mån</v>
      </c>
      <c r="J18" s="184"/>
      <c r="K18" s="184"/>
      <c r="L18" s="184"/>
      <c r="M18" s="204"/>
      <c r="N18" s="379"/>
      <c r="O18" s="205" t="str">
        <f>Normtid!H9</f>
        <v/>
      </c>
      <c r="P18" s="188">
        <f t="shared" ca="1" si="5"/>
        <v>0</v>
      </c>
    </row>
    <row r="19" spans="2:16" ht="15.75" customHeight="1">
      <c r="B19" s="460" t="str">
        <f t="shared" ca="1" si="0"/>
        <v/>
      </c>
      <c r="C19" s="461" t="str">
        <f t="shared" ca="1" si="1"/>
        <v/>
      </c>
      <c r="D19" s="195">
        <f t="shared" ca="1" si="2"/>
        <v>0</v>
      </c>
      <c r="E19" s="196">
        <f t="shared" ca="1" si="3"/>
        <v>0</v>
      </c>
      <c r="F19" s="191">
        <f ca="1">IF(AND(H19&gt;=startdag,H19&lt;=slutdag),IF(TODAY()&gt;=H19,Normtid!G10,0),0)</f>
        <v>0</v>
      </c>
      <c r="G19" s="403"/>
      <c r="H19" s="189">
        <f>Normtid!F10</f>
        <v>43866</v>
      </c>
      <c r="I19" s="190" t="str">
        <f t="shared" si="4"/>
        <v>Tis</v>
      </c>
      <c r="J19" s="192"/>
      <c r="K19" s="192"/>
      <c r="L19" s="192"/>
      <c r="M19" s="202"/>
      <c r="N19" s="383"/>
      <c r="O19" s="203" t="str">
        <f>Normtid!H10</f>
        <v/>
      </c>
      <c r="P19" s="196">
        <f t="shared" ca="1" si="5"/>
        <v>0</v>
      </c>
    </row>
    <row r="20" spans="2:16" ht="15.75" customHeight="1">
      <c r="B20" s="462" t="str">
        <f t="shared" ca="1" si="0"/>
        <v/>
      </c>
      <c r="C20" s="463" t="str">
        <f t="shared" ca="1" si="1"/>
        <v/>
      </c>
      <c r="D20" s="388">
        <f t="shared" ca="1" si="2"/>
        <v>0</v>
      </c>
      <c r="E20" s="188">
        <f t="shared" ca="1" si="3"/>
        <v>0</v>
      </c>
      <c r="F20" s="183">
        <f ca="1">IF(AND(H20&gt;=startdag,H20&lt;=slutdag),IF(TODAY()&gt;=H20,Normtid!G11,0),0)</f>
        <v>0</v>
      </c>
      <c r="G20" s="403"/>
      <c r="H20" s="181">
        <f>Normtid!F11</f>
        <v>43867</v>
      </c>
      <c r="I20" s="182" t="str">
        <f t="shared" si="4"/>
        <v>Ons</v>
      </c>
      <c r="J20" s="184"/>
      <c r="K20" s="184"/>
      <c r="L20" s="184"/>
      <c r="M20" s="204"/>
      <c r="N20" s="379"/>
      <c r="O20" s="205" t="str">
        <f>Normtid!H11</f>
        <v/>
      </c>
      <c r="P20" s="188">
        <f t="shared" ca="1" si="5"/>
        <v>0</v>
      </c>
    </row>
    <row r="21" spans="2:16" ht="15.75" customHeight="1">
      <c r="B21" s="460" t="str">
        <f t="shared" ca="1" si="0"/>
        <v/>
      </c>
      <c r="C21" s="461" t="str">
        <f t="shared" ca="1" si="1"/>
        <v/>
      </c>
      <c r="D21" s="195">
        <f t="shared" ca="1" si="2"/>
        <v>0</v>
      </c>
      <c r="E21" s="196">
        <f t="shared" ca="1" si="3"/>
        <v>0</v>
      </c>
      <c r="F21" s="191">
        <f ca="1">IF(AND(H21&gt;=startdag,H21&lt;=slutdag),IF(TODAY()&gt;=H21,Normtid!G12,0),0)</f>
        <v>0</v>
      </c>
      <c r="G21" s="403"/>
      <c r="H21" s="189">
        <f>Normtid!F12</f>
        <v>43868</v>
      </c>
      <c r="I21" s="190" t="str">
        <f t="shared" si="4"/>
        <v>Tor</v>
      </c>
      <c r="J21" s="192"/>
      <c r="K21" s="192"/>
      <c r="L21" s="192"/>
      <c r="M21" s="202"/>
      <c r="N21" s="383"/>
      <c r="O21" s="203" t="str">
        <f>Normtid!H12</f>
        <v/>
      </c>
      <c r="P21" s="196">
        <f t="shared" ca="1" si="5"/>
        <v>0</v>
      </c>
    </row>
    <row r="22" spans="2:16" ht="15.75" customHeight="1">
      <c r="B22" s="462" t="str">
        <f t="shared" ca="1" si="0"/>
        <v/>
      </c>
      <c r="C22" s="463" t="str">
        <f t="shared" ca="1" si="1"/>
        <v/>
      </c>
      <c r="D22" s="388">
        <f t="shared" ca="1" si="2"/>
        <v>0</v>
      </c>
      <c r="E22" s="188">
        <f t="shared" ca="1" si="3"/>
        <v>0</v>
      </c>
      <c r="F22" s="183">
        <f ca="1">IF(AND(H22&gt;=startdag,H22&lt;=slutdag),IF(TODAY()&gt;=H22,Normtid!G13,0),0)</f>
        <v>0</v>
      </c>
      <c r="G22" s="403"/>
      <c r="H22" s="181">
        <f>Normtid!F13</f>
        <v>43869</v>
      </c>
      <c r="I22" s="182" t="str">
        <f t="shared" si="4"/>
        <v>Fre</v>
      </c>
      <c r="J22" s="184"/>
      <c r="K22" s="184"/>
      <c r="L22" s="184"/>
      <c r="M22" s="204"/>
      <c r="N22" s="379"/>
      <c r="O22" s="205" t="str">
        <f>Normtid!H13</f>
        <v/>
      </c>
      <c r="P22" s="188">
        <f t="shared" ca="1" si="5"/>
        <v>0</v>
      </c>
    </row>
    <row r="23" spans="2:16" ht="15.75" customHeight="1">
      <c r="B23" s="460" t="str">
        <f t="shared" ca="1" si="0"/>
        <v/>
      </c>
      <c r="C23" s="461" t="str">
        <f t="shared" ca="1" si="1"/>
        <v/>
      </c>
      <c r="D23" s="195">
        <f t="shared" ca="1" si="2"/>
        <v>0</v>
      </c>
      <c r="E23" s="196">
        <f t="shared" ca="1" si="3"/>
        <v>0</v>
      </c>
      <c r="F23" s="191">
        <f ca="1">IF(AND(H23&gt;=startdag,H23&lt;=slutdag),IF(TODAY()&gt;=H23,Normtid!G14,0),0)</f>
        <v>0</v>
      </c>
      <c r="G23" s="403"/>
      <c r="H23" s="189">
        <f>Normtid!F14</f>
        <v>43870</v>
      </c>
      <c r="I23" s="190" t="str">
        <f t="shared" si="4"/>
        <v>Lör</v>
      </c>
      <c r="J23" s="192"/>
      <c r="K23" s="192"/>
      <c r="L23" s="192"/>
      <c r="M23" s="202"/>
      <c r="N23" s="383"/>
      <c r="O23" s="203" t="str">
        <f>Normtid!H14</f>
        <v/>
      </c>
      <c r="P23" s="196">
        <f t="shared" ca="1" si="5"/>
        <v>0</v>
      </c>
    </row>
    <row r="24" spans="2:16" ht="15.75" customHeight="1">
      <c r="B24" s="462" t="str">
        <f t="shared" ca="1" si="0"/>
        <v/>
      </c>
      <c r="C24" s="463" t="str">
        <f t="shared" ca="1" si="1"/>
        <v/>
      </c>
      <c r="D24" s="388">
        <f t="shared" ca="1" si="2"/>
        <v>0</v>
      </c>
      <c r="E24" s="188">
        <f t="shared" ca="1" si="3"/>
        <v>0</v>
      </c>
      <c r="F24" s="183">
        <f ca="1">IF(AND(H24&gt;=startdag,H24&lt;=slutdag),IF(TODAY()&gt;=H24,Normtid!G15,0),0)</f>
        <v>0</v>
      </c>
      <c r="G24" s="403"/>
      <c r="H24" s="181">
        <f>Normtid!F15</f>
        <v>43871</v>
      </c>
      <c r="I24" s="182" t="str">
        <f t="shared" si="4"/>
        <v>Sön</v>
      </c>
      <c r="J24" s="184"/>
      <c r="K24" s="184"/>
      <c r="L24" s="184"/>
      <c r="M24" s="204"/>
      <c r="N24" s="379"/>
      <c r="O24" s="205" t="str">
        <f>Normtid!H15</f>
        <v/>
      </c>
      <c r="P24" s="188">
        <f t="shared" ca="1" si="5"/>
        <v>0</v>
      </c>
    </row>
    <row r="25" spans="2:16" ht="15.75" customHeight="1">
      <c r="B25" s="460" t="str">
        <f t="shared" ca="1" si="0"/>
        <v/>
      </c>
      <c r="C25" s="461" t="str">
        <f t="shared" ca="1" si="1"/>
        <v/>
      </c>
      <c r="D25" s="195">
        <f t="shared" ca="1" si="2"/>
        <v>0</v>
      </c>
      <c r="E25" s="196">
        <f t="shared" ca="1" si="3"/>
        <v>0</v>
      </c>
      <c r="F25" s="191">
        <f ca="1">IF(AND(H25&gt;=startdag,H25&lt;=slutdag),IF(TODAY()&gt;=H25,Normtid!G16,0),0)</f>
        <v>0</v>
      </c>
      <c r="G25" s="403"/>
      <c r="H25" s="189">
        <f>Normtid!F16</f>
        <v>43872</v>
      </c>
      <c r="I25" s="190" t="str">
        <f t="shared" si="4"/>
        <v>Mån</v>
      </c>
      <c r="J25" s="192"/>
      <c r="K25" s="192"/>
      <c r="L25" s="192"/>
      <c r="M25" s="202"/>
      <c r="N25" s="383"/>
      <c r="O25" s="203" t="str">
        <f>Normtid!H16</f>
        <v/>
      </c>
      <c r="P25" s="196">
        <f t="shared" ca="1" si="5"/>
        <v>0</v>
      </c>
    </row>
    <row r="26" spans="2:16" ht="15.75" customHeight="1">
      <c r="B26" s="462" t="str">
        <f t="shared" ca="1" si="0"/>
        <v/>
      </c>
      <c r="C26" s="463" t="str">
        <f t="shared" ca="1" si="1"/>
        <v/>
      </c>
      <c r="D26" s="388">
        <f t="shared" ca="1" si="2"/>
        <v>0</v>
      </c>
      <c r="E26" s="188">
        <f t="shared" ca="1" si="3"/>
        <v>0</v>
      </c>
      <c r="F26" s="183">
        <f ca="1">IF(AND(H26&gt;=startdag,H26&lt;=slutdag),IF(TODAY()&gt;=H26,Normtid!G17,0),0)</f>
        <v>0</v>
      </c>
      <c r="G26" s="403"/>
      <c r="H26" s="181">
        <f>Normtid!F17</f>
        <v>43873</v>
      </c>
      <c r="I26" s="182" t="str">
        <f t="shared" si="4"/>
        <v>Tis</v>
      </c>
      <c r="J26" s="184"/>
      <c r="K26" s="184"/>
      <c r="L26" s="184"/>
      <c r="M26" s="204"/>
      <c r="N26" s="379"/>
      <c r="O26" s="205" t="str">
        <f>Normtid!H17</f>
        <v/>
      </c>
      <c r="P26" s="188">
        <f t="shared" ca="1" si="5"/>
        <v>0</v>
      </c>
    </row>
    <row r="27" spans="2:16" ht="15.75" customHeight="1">
      <c r="B27" s="460" t="str">
        <f t="shared" ca="1" si="0"/>
        <v/>
      </c>
      <c r="C27" s="461" t="str">
        <f t="shared" ca="1" si="1"/>
        <v/>
      </c>
      <c r="D27" s="195">
        <f t="shared" ca="1" si="2"/>
        <v>0</v>
      </c>
      <c r="E27" s="196">
        <f t="shared" ca="1" si="3"/>
        <v>0</v>
      </c>
      <c r="F27" s="191">
        <f ca="1">IF(AND(H27&gt;=startdag,H27&lt;=slutdag),IF(TODAY()&gt;=H27,Normtid!G18,0),0)</f>
        <v>0</v>
      </c>
      <c r="G27" s="403"/>
      <c r="H27" s="189">
        <f>Normtid!F18</f>
        <v>43874</v>
      </c>
      <c r="I27" s="190" t="str">
        <f t="shared" si="4"/>
        <v>Ons</v>
      </c>
      <c r="J27" s="192"/>
      <c r="K27" s="192"/>
      <c r="L27" s="192"/>
      <c r="M27" s="202"/>
      <c r="N27" s="383"/>
      <c r="O27" s="203" t="str">
        <f>Normtid!H18</f>
        <v/>
      </c>
      <c r="P27" s="196">
        <f t="shared" ca="1" si="5"/>
        <v>0</v>
      </c>
    </row>
    <row r="28" spans="2:16" ht="15.75" customHeight="1">
      <c r="B28" s="462" t="str">
        <f t="shared" ca="1" si="0"/>
        <v/>
      </c>
      <c r="C28" s="463" t="str">
        <f t="shared" ca="1" si="1"/>
        <v/>
      </c>
      <c r="D28" s="388">
        <f t="shared" ca="1" si="2"/>
        <v>0</v>
      </c>
      <c r="E28" s="188">
        <f t="shared" ca="1" si="3"/>
        <v>0</v>
      </c>
      <c r="F28" s="183">
        <f ca="1">IF(AND(H28&gt;=startdag,H28&lt;=slutdag),IF(TODAY()&gt;=H28,Normtid!G19,0),0)</f>
        <v>0</v>
      </c>
      <c r="G28" s="403"/>
      <c r="H28" s="181">
        <f>Normtid!F19</f>
        <v>43875</v>
      </c>
      <c r="I28" s="182" t="str">
        <f t="shared" si="4"/>
        <v>Tor</v>
      </c>
      <c r="J28" s="184"/>
      <c r="K28" s="184"/>
      <c r="L28" s="184"/>
      <c r="M28" s="204"/>
      <c r="N28" s="379"/>
      <c r="O28" s="205" t="str">
        <f>Normtid!H19</f>
        <v/>
      </c>
      <c r="P28" s="188">
        <f t="shared" ca="1" si="5"/>
        <v>0</v>
      </c>
    </row>
    <row r="29" spans="2:16" ht="15.75" customHeight="1">
      <c r="B29" s="460" t="str">
        <f t="shared" ca="1" si="0"/>
        <v/>
      </c>
      <c r="C29" s="461" t="str">
        <f t="shared" ca="1" si="1"/>
        <v/>
      </c>
      <c r="D29" s="195">
        <f t="shared" ca="1" si="2"/>
        <v>0</v>
      </c>
      <c r="E29" s="196">
        <f t="shared" ca="1" si="3"/>
        <v>0</v>
      </c>
      <c r="F29" s="191">
        <f ca="1">IF(AND(H29&gt;=startdag,H29&lt;=slutdag),IF(TODAY()&gt;=H29,Normtid!G20,0),0)</f>
        <v>0</v>
      </c>
      <c r="G29" s="403"/>
      <c r="H29" s="189">
        <f>Normtid!F20</f>
        <v>43876</v>
      </c>
      <c r="I29" s="190" t="str">
        <f t="shared" si="4"/>
        <v>Fre</v>
      </c>
      <c r="J29" s="192"/>
      <c r="K29" s="192"/>
      <c r="L29" s="192"/>
      <c r="M29" s="202"/>
      <c r="N29" s="383"/>
      <c r="O29" s="203"/>
      <c r="P29" s="196">
        <f t="shared" ca="1" si="5"/>
        <v>0</v>
      </c>
    </row>
    <row r="30" spans="2:16" ht="15.75" customHeight="1">
      <c r="B30" s="462" t="str">
        <f t="shared" ca="1" si="0"/>
        <v/>
      </c>
      <c r="C30" s="463" t="str">
        <f t="shared" ca="1" si="1"/>
        <v/>
      </c>
      <c r="D30" s="388">
        <f t="shared" ca="1" si="2"/>
        <v>0</v>
      </c>
      <c r="E30" s="188">
        <f t="shared" ca="1" si="3"/>
        <v>0</v>
      </c>
      <c r="F30" s="183">
        <f ca="1">IF(AND(H30&gt;=startdag,H30&lt;=slutdag),IF(TODAY()&gt;=H30,Normtid!G21,0),0)</f>
        <v>0</v>
      </c>
      <c r="G30" s="403"/>
      <c r="H30" s="181">
        <f>Normtid!F21</f>
        <v>43877</v>
      </c>
      <c r="I30" s="182" t="str">
        <f t="shared" si="4"/>
        <v>Lör</v>
      </c>
      <c r="J30" s="184"/>
      <c r="K30" s="184"/>
      <c r="L30" s="184"/>
      <c r="M30" s="204"/>
      <c r="N30" s="379"/>
      <c r="O30" s="205" t="str">
        <f>Normtid!H21</f>
        <v/>
      </c>
      <c r="P30" s="188">
        <f t="shared" ca="1" si="5"/>
        <v>0</v>
      </c>
    </row>
    <row r="31" spans="2:16" ht="15.75" customHeight="1">
      <c r="B31" s="460" t="str">
        <f t="shared" ca="1" si="0"/>
        <v/>
      </c>
      <c r="C31" s="461" t="str">
        <f t="shared" ca="1" si="1"/>
        <v/>
      </c>
      <c r="D31" s="195">
        <f t="shared" ca="1" si="2"/>
        <v>0</v>
      </c>
      <c r="E31" s="196">
        <f t="shared" ca="1" si="3"/>
        <v>0</v>
      </c>
      <c r="F31" s="191">
        <f ca="1">IF(AND(H31&gt;=startdag,H31&lt;=slutdag),IF(TODAY()&gt;=H31,Normtid!G22,0),0)</f>
        <v>0</v>
      </c>
      <c r="G31" s="403"/>
      <c r="H31" s="189">
        <f>Normtid!F22</f>
        <v>43878</v>
      </c>
      <c r="I31" s="190" t="str">
        <f t="shared" si="4"/>
        <v>Sön</v>
      </c>
      <c r="J31" s="192"/>
      <c r="K31" s="192"/>
      <c r="L31" s="192"/>
      <c r="M31" s="202"/>
      <c r="N31" s="383"/>
      <c r="O31" s="203" t="str">
        <f>Normtid!H22</f>
        <v/>
      </c>
      <c r="P31" s="196">
        <f t="shared" ca="1" si="5"/>
        <v>0</v>
      </c>
    </row>
    <row r="32" spans="2:16" ht="15.75" customHeight="1">
      <c r="B32" s="462" t="str">
        <f t="shared" ca="1" si="0"/>
        <v/>
      </c>
      <c r="C32" s="463" t="str">
        <f t="shared" ca="1" si="1"/>
        <v/>
      </c>
      <c r="D32" s="388">
        <f t="shared" ca="1" si="2"/>
        <v>0</v>
      </c>
      <c r="E32" s="188">
        <f t="shared" ca="1" si="3"/>
        <v>0</v>
      </c>
      <c r="F32" s="183">
        <f ca="1">IF(AND(H32&gt;=startdag,H32&lt;=slutdag),IF(TODAY()&gt;=H32,Normtid!G23,0),0)</f>
        <v>0</v>
      </c>
      <c r="G32" s="403"/>
      <c r="H32" s="181">
        <f>Normtid!F23</f>
        <v>43879</v>
      </c>
      <c r="I32" s="182" t="str">
        <f t="shared" si="4"/>
        <v>Mån</v>
      </c>
      <c r="J32" s="184"/>
      <c r="K32" s="184"/>
      <c r="L32" s="184"/>
      <c r="M32" s="204"/>
      <c r="N32" s="379"/>
      <c r="O32" s="205" t="str">
        <f>Normtid!H23</f>
        <v/>
      </c>
      <c r="P32" s="188">
        <f t="shared" ca="1" si="5"/>
        <v>0</v>
      </c>
    </row>
    <row r="33" spans="1:17" ht="15.75" customHeight="1">
      <c r="B33" s="460" t="str">
        <f t="shared" ca="1" si="0"/>
        <v/>
      </c>
      <c r="C33" s="461" t="str">
        <f t="shared" ca="1" si="1"/>
        <v/>
      </c>
      <c r="D33" s="195">
        <f t="shared" ca="1" si="2"/>
        <v>0</v>
      </c>
      <c r="E33" s="196">
        <f t="shared" ca="1" si="3"/>
        <v>0</v>
      </c>
      <c r="F33" s="191">
        <f ca="1">IF(AND(H33&gt;=startdag,H33&lt;=slutdag),IF(TODAY()&gt;=H33,Normtid!G24,0),0)</f>
        <v>0</v>
      </c>
      <c r="G33" s="403"/>
      <c r="H33" s="189">
        <f>Normtid!F24</f>
        <v>43880</v>
      </c>
      <c r="I33" s="190" t="str">
        <f t="shared" si="4"/>
        <v>Tis</v>
      </c>
      <c r="J33" s="192"/>
      <c r="K33" s="192"/>
      <c r="L33" s="192"/>
      <c r="M33" s="202"/>
      <c r="N33" s="383"/>
      <c r="O33" s="203" t="str">
        <f>Normtid!H24</f>
        <v/>
      </c>
      <c r="P33" s="196">
        <f t="shared" ca="1" si="5"/>
        <v>0</v>
      </c>
    </row>
    <row r="34" spans="1:17" ht="15.75" customHeight="1">
      <c r="B34" s="462" t="str">
        <f t="shared" ca="1" si="0"/>
        <v/>
      </c>
      <c r="C34" s="463" t="str">
        <f t="shared" ca="1" si="1"/>
        <v/>
      </c>
      <c r="D34" s="388">
        <f t="shared" ca="1" si="2"/>
        <v>0</v>
      </c>
      <c r="E34" s="188">
        <f t="shared" ca="1" si="3"/>
        <v>0</v>
      </c>
      <c r="F34" s="183">
        <f ca="1">IF(AND(H34&gt;=startdag,H34&lt;=slutdag),IF(TODAY()&gt;=H34,Normtid!G25,0),0)</f>
        <v>0</v>
      </c>
      <c r="G34" s="403"/>
      <c r="H34" s="181">
        <f>Normtid!F25</f>
        <v>43881</v>
      </c>
      <c r="I34" s="182" t="str">
        <f t="shared" si="4"/>
        <v>Ons</v>
      </c>
      <c r="J34" s="184"/>
      <c r="K34" s="184"/>
      <c r="L34" s="184"/>
      <c r="M34" s="204"/>
      <c r="N34" s="379"/>
      <c r="O34" s="205" t="str">
        <f>Normtid!H25</f>
        <v/>
      </c>
      <c r="P34" s="188">
        <f t="shared" ca="1" si="5"/>
        <v>0</v>
      </c>
    </row>
    <row r="35" spans="1:17" ht="15.75" customHeight="1">
      <c r="B35" s="460" t="str">
        <f t="shared" ca="1" si="0"/>
        <v/>
      </c>
      <c r="C35" s="461" t="str">
        <f t="shared" ca="1" si="1"/>
        <v/>
      </c>
      <c r="D35" s="195">
        <f t="shared" ca="1" si="2"/>
        <v>0</v>
      </c>
      <c r="E35" s="196">
        <f t="shared" ca="1" si="3"/>
        <v>0</v>
      </c>
      <c r="F35" s="191">
        <f ca="1">IF(AND(H35&gt;=startdag,H35&lt;=slutdag),IF(TODAY()&gt;=H35,Normtid!G26,0),0)</f>
        <v>0</v>
      </c>
      <c r="G35" s="403"/>
      <c r="H35" s="189">
        <f>Normtid!F26</f>
        <v>43882</v>
      </c>
      <c r="I35" s="190" t="str">
        <f t="shared" si="4"/>
        <v>Tor</v>
      </c>
      <c r="J35" s="192"/>
      <c r="K35" s="192"/>
      <c r="L35" s="192"/>
      <c r="M35" s="202"/>
      <c r="N35" s="383"/>
      <c r="O35" s="203" t="str">
        <f>Normtid!H26</f>
        <v/>
      </c>
      <c r="P35" s="196">
        <f t="shared" ca="1" si="5"/>
        <v>0</v>
      </c>
      <c r="Q35" s="95"/>
    </row>
    <row r="36" spans="1:17" ht="15.75" customHeight="1">
      <c r="B36" s="462" t="str">
        <f t="shared" ca="1" si="0"/>
        <v/>
      </c>
      <c r="C36" s="463" t="str">
        <f t="shared" ca="1" si="1"/>
        <v/>
      </c>
      <c r="D36" s="388">
        <f t="shared" ca="1" si="2"/>
        <v>0</v>
      </c>
      <c r="E36" s="188">
        <f t="shared" ca="1" si="3"/>
        <v>0</v>
      </c>
      <c r="F36" s="183">
        <f ca="1">IF(AND(H36&gt;=startdag,H36&lt;=slutdag),IF(TODAY()&gt;=H36,Normtid!G27,0),0)</f>
        <v>0</v>
      </c>
      <c r="G36" s="403"/>
      <c r="H36" s="181">
        <f>Normtid!F27</f>
        <v>43883</v>
      </c>
      <c r="I36" s="182" t="str">
        <f t="shared" si="4"/>
        <v>Fre</v>
      </c>
      <c r="J36" s="184"/>
      <c r="K36" s="184"/>
      <c r="L36" s="184"/>
      <c r="M36" s="204"/>
      <c r="N36" s="379"/>
      <c r="O36" s="205" t="str">
        <f>Normtid!H27</f>
        <v/>
      </c>
      <c r="P36" s="188">
        <f t="shared" ca="1" si="5"/>
        <v>0</v>
      </c>
    </row>
    <row r="37" spans="1:17" ht="15.75" customHeight="1">
      <c r="B37" s="460" t="str">
        <f t="shared" ca="1" si="0"/>
        <v/>
      </c>
      <c r="C37" s="461" t="str">
        <f t="shared" ca="1" si="1"/>
        <v/>
      </c>
      <c r="D37" s="195">
        <f t="shared" ca="1" si="2"/>
        <v>0</v>
      </c>
      <c r="E37" s="196">
        <f t="shared" ca="1" si="3"/>
        <v>0</v>
      </c>
      <c r="F37" s="191">
        <f ca="1">IF(AND(H37&gt;=startdag,H37&lt;=slutdag),IF(TODAY()&gt;=H37,Normtid!G28,0),0)</f>
        <v>0</v>
      </c>
      <c r="G37" s="403"/>
      <c r="H37" s="189">
        <f>Normtid!F28</f>
        <v>43884</v>
      </c>
      <c r="I37" s="190" t="str">
        <f t="shared" si="4"/>
        <v>Lör</v>
      </c>
      <c r="J37" s="192"/>
      <c r="K37" s="192"/>
      <c r="L37" s="192"/>
      <c r="M37" s="202"/>
      <c r="N37" s="383"/>
      <c r="O37" s="203" t="str">
        <f>Normtid!H28</f>
        <v/>
      </c>
      <c r="P37" s="196">
        <f t="shared" ca="1" si="5"/>
        <v>0</v>
      </c>
    </row>
    <row r="38" spans="1:17" ht="15.75" customHeight="1">
      <c r="B38" s="462" t="str">
        <f t="shared" ca="1" si="0"/>
        <v/>
      </c>
      <c r="C38" s="463" t="str">
        <f t="shared" ca="1" si="1"/>
        <v/>
      </c>
      <c r="D38" s="388">
        <f t="shared" ca="1" si="2"/>
        <v>0</v>
      </c>
      <c r="E38" s="188">
        <f t="shared" ca="1" si="3"/>
        <v>0</v>
      </c>
      <c r="F38" s="183">
        <f ca="1">IF(AND(H38&gt;=startdag,H38&lt;=slutdag),IF(TODAY()&gt;=H38,Normtid!G29,0),0)</f>
        <v>0</v>
      </c>
      <c r="G38" s="403"/>
      <c r="H38" s="181">
        <f>Normtid!F29</f>
        <v>43885</v>
      </c>
      <c r="I38" s="182" t="str">
        <f t="shared" si="4"/>
        <v>Sön</v>
      </c>
      <c r="J38" s="184"/>
      <c r="K38" s="184"/>
      <c r="L38" s="184"/>
      <c r="M38" s="204"/>
      <c r="N38" s="379"/>
      <c r="O38" s="205" t="str">
        <f>Normtid!H29</f>
        <v/>
      </c>
      <c r="P38" s="188">
        <f t="shared" ca="1" si="5"/>
        <v>0</v>
      </c>
    </row>
    <row r="39" spans="1:17" ht="15.75" customHeight="1">
      <c r="B39" s="460" t="str">
        <f t="shared" ca="1" si="0"/>
        <v/>
      </c>
      <c r="C39" s="461" t="str">
        <f t="shared" ca="1" si="1"/>
        <v/>
      </c>
      <c r="D39" s="195">
        <f t="shared" ca="1" si="2"/>
        <v>0</v>
      </c>
      <c r="E39" s="196">
        <f t="shared" ca="1" si="3"/>
        <v>0</v>
      </c>
      <c r="F39" s="191">
        <f ca="1">IF(AND(H39&gt;=startdag,H39&lt;=slutdag),IF(TODAY()&gt;=H39,Normtid!G30,0),0)</f>
        <v>0</v>
      </c>
      <c r="G39" s="403"/>
      <c r="H39" s="189">
        <f>Normtid!F30</f>
        <v>43886</v>
      </c>
      <c r="I39" s="190" t="str">
        <f t="shared" si="4"/>
        <v>Mån</v>
      </c>
      <c r="J39" s="192"/>
      <c r="K39" s="192"/>
      <c r="L39" s="192"/>
      <c r="M39" s="202"/>
      <c r="N39" s="383"/>
      <c r="O39" s="203" t="str">
        <f>Normtid!H30</f>
        <v/>
      </c>
      <c r="P39" s="196">
        <f t="shared" ca="1" si="5"/>
        <v>0</v>
      </c>
    </row>
    <row r="40" spans="1:17" ht="15.75" customHeight="1">
      <c r="B40" s="462" t="str">
        <f t="shared" ca="1" si="0"/>
        <v/>
      </c>
      <c r="C40" s="463" t="str">
        <f t="shared" ca="1" si="1"/>
        <v/>
      </c>
      <c r="D40" s="388">
        <f t="shared" ca="1" si="2"/>
        <v>0</v>
      </c>
      <c r="E40" s="188">
        <f t="shared" ca="1" si="3"/>
        <v>0</v>
      </c>
      <c r="F40" s="183">
        <f ca="1">IF(AND(H40&gt;=startdag,H40&lt;=slutdag),IF(TODAY()&gt;=H40,Normtid!G31,0),0)</f>
        <v>0</v>
      </c>
      <c r="G40" s="403"/>
      <c r="H40" s="181">
        <f>Normtid!F31</f>
        <v>43887</v>
      </c>
      <c r="I40" s="182" t="str">
        <f t="shared" si="4"/>
        <v>Tis</v>
      </c>
      <c r="J40" s="184"/>
      <c r="K40" s="184"/>
      <c r="L40" s="184"/>
      <c r="M40" s="204"/>
      <c r="N40" s="379"/>
      <c r="O40" s="205" t="str">
        <f>Normtid!H31</f>
        <v/>
      </c>
      <c r="P40" s="188">
        <f t="shared" ca="1" si="5"/>
        <v>0</v>
      </c>
    </row>
    <row r="41" spans="1:17" ht="15.75" customHeight="1">
      <c r="B41" s="460" t="str">
        <f t="shared" ca="1" si="0"/>
        <v/>
      </c>
      <c r="C41" s="461" t="str">
        <f t="shared" ca="1" si="1"/>
        <v/>
      </c>
      <c r="D41" s="195">
        <f t="shared" ca="1" si="2"/>
        <v>0</v>
      </c>
      <c r="E41" s="196">
        <f t="shared" ca="1" si="3"/>
        <v>0</v>
      </c>
      <c r="F41" s="191">
        <f ca="1">IF(AND(H41&gt;=startdag,H41&lt;=slutdag),IF(TODAY()&gt;=H41,Normtid!G32,0),0)</f>
        <v>0</v>
      </c>
      <c r="G41" s="403"/>
      <c r="H41" s="189">
        <f>Normtid!F32</f>
        <v>43888</v>
      </c>
      <c r="I41" s="190" t="str">
        <f t="shared" si="4"/>
        <v>Ons</v>
      </c>
      <c r="J41" s="192"/>
      <c r="K41" s="192"/>
      <c r="L41" s="192"/>
      <c r="M41" s="202"/>
      <c r="N41" s="383"/>
      <c r="O41" s="203" t="str">
        <f>Normtid!H32</f>
        <v/>
      </c>
      <c r="P41" s="196">
        <f t="shared" ca="1" si="5"/>
        <v>0</v>
      </c>
    </row>
    <row r="42" spans="1:17" ht="15.75" customHeight="1">
      <c r="B42" s="462" t="str">
        <f t="shared" ca="1" si="0"/>
        <v/>
      </c>
      <c r="C42" s="463" t="str">
        <f t="shared" ca="1" si="1"/>
        <v/>
      </c>
      <c r="D42" s="388">
        <f t="shared" ca="1" si="2"/>
        <v>0</v>
      </c>
      <c r="E42" s="188">
        <f t="shared" ca="1" si="3"/>
        <v>0</v>
      </c>
      <c r="F42" s="183">
        <f ca="1">IF(AND(H42&gt;=startdag,H42&lt;=slutdag),IF(TODAY()&gt;=H42,Normtid!G33,0),0)</f>
        <v>0</v>
      </c>
      <c r="G42" s="403"/>
      <c r="H42" s="181">
        <f>Normtid!F33</f>
        <v>43889</v>
      </c>
      <c r="I42" s="182" t="str">
        <f>IF(H42&lt;&gt;"",PROPER(TEXT(WEEKDAY(H42)+1,"DDD")),"")</f>
        <v>Tor</v>
      </c>
      <c r="J42" s="184"/>
      <c r="K42" s="184"/>
      <c r="L42" s="184"/>
      <c r="M42" s="204"/>
      <c r="N42" s="379"/>
      <c r="O42" s="205">
        <f>Normtid!H33</f>
        <v>0</v>
      </c>
      <c r="P42" s="188">
        <f t="shared" ca="1" si="5"/>
        <v>0</v>
      </c>
    </row>
    <row r="43" spans="1:17" ht="15.75" customHeight="1">
      <c r="B43" s="460" t="str">
        <f t="shared" ca="1" si="0"/>
        <v/>
      </c>
      <c r="C43" s="461" t="str">
        <f t="shared" ca="1" si="1"/>
        <v/>
      </c>
      <c r="D43" s="195">
        <f t="shared" ca="1" si="2"/>
        <v>0</v>
      </c>
      <c r="E43" s="196">
        <f t="shared" ca="1" si="3"/>
        <v>0</v>
      </c>
      <c r="F43" s="191">
        <f ca="1">IF(AND(H43&gt;=startdag,H43&lt;=slutdag),IF(TODAY()&gt;=H43,Normtid!G34,0),0)</f>
        <v>0</v>
      </c>
      <c r="G43" s="403"/>
      <c r="H43" s="181"/>
      <c r="I43" s="182"/>
      <c r="J43" s="206"/>
      <c r="K43" s="206"/>
      <c r="L43" s="206"/>
      <c r="M43" s="207"/>
      <c r="N43" s="208"/>
      <c r="O43" s="209"/>
      <c r="P43" s="188">
        <f t="shared" ca="1" si="5"/>
        <v>0</v>
      </c>
    </row>
    <row r="44" spans="1:17" ht="15.75" customHeight="1">
      <c r="B44" s="464" t="str">
        <f t="shared" ca="1" si="0"/>
        <v/>
      </c>
      <c r="C44" s="465" t="str">
        <f t="shared" ca="1" si="1"/>
        <v/>
      </c>
      <c r="D44" s="389">
        <f t="shared" ca="1" si="2"/>
        <v>0</v>
      </c>
      <c r="E44" s="91">
        <f t="shared" ca="1" si="3"/>
        <v>0</v>
      </c>
      <c r="F44" s="220">
        <f ca="1">IF(AND(H44&gt;=startdag,H44&lt;=slutdag),IF(TODAY()&gt;=H44,Normtid!G35,0),0)</f>
        <v>0</v>
      </c>
      <c r="G44" s="403"/>
      <c r="H44" s="210"/>
      <c r="I44" s="211"/>
      <c r="J44" s="212"/>
      <c r="K44" s="212"/>
      <c r="L44" s="212"/>
      <c r="M44" s="213"/>
      <c r="N44" s="214"/>
      <c r="O44" s="215"/>
      <c r="P44" s="91">
        <f t="shared" ca="1" si="5"/>
        <v>0</v>
      </c>
    </row>
    <row r="45" spans="1:17" ht="15.75" customHeight="1" thickBot="1">
      <c r="A45" s="30"/>
      <c r="B45" s="17"/>
      <c r="C45" s="336"/>
      <c r="D45" s="80"/>
      <c r="E45" s="80"/>
      <c r="F45" s="80"/>
      <c r="G45" s="80"/>
      <c r="H45" s="80"/>
      <c r="I45" s="80"/>
      <c r="J45" s="81"/>
      <c r="K45" s="80"/>
      <c r="L45" s="80"/>
      <c r="M45" s="80"/>
      <c r="N45" s="80"/>
      <c r="O45" s="80"/>
      <c r="P45" s="80"/>
    </row>
    <row r="46" spans="1:17" ht="12.9">
      <c r="A46" s="548" t="str">
        <f>Felinfo!H10</f>
        <v>Flex 99:03C • huk-51 • ©</v>
      </c>
      <c r="C46" s="314"/>
      <c r="D46" s="64"/>
      <c r="E46" s="64"/>
      <c r="F46" s="17"/>
      <c r="G46" s="17"/>
      <c r="H46" s="51" t="str">
        <f ca="1">"Summa arbetad tid"&amp;IF(MONTH(H14)=MONTH(TODAY())," t o m ""i dag""","")</f>
        <v>Summa arbetad tid</v>
      </c>
      <c r="I46" s="52"/>
      <c r="J46" s="53"/>
      <c r="K46" s="53"/>
      <c r="L46" s="53"/>
      <c r="M46" s="53"/>
      <c r="N46" s="54"/>
      <c r="O46" s="52"/>
      <c r="P46" s="197">
        <f ca="1">IF(TODAY()&gt;=H14,SUMIF(P14:P44,"&gt;0"),0)</f>
        <v>0</v>
      </c>
    </row>
    <row r="47" spans="1:17" ht="14.25" customHeight="1">
      <c r="A47" s="555"/>
      <c r="C47" s="314"/>
      <c r="D47" s="60"/>
      <c r="E47" s="60"/>
      <c r="F47" s="17"/>
      <c r="G47" s="17"/>
      <c r="H47" s="56" t="str">
        <f ca="1">IF(MONTH(H14)=MONTH(TODAY()),"Månadens normalarbetstid t o m idag","Normalarbetstid för månaden")&amp;IF(AND(MONTH(TODAY())&gt;=MONTH(H14),N8&lt;&gt;1)," (normtid "&amp;SUM(F14:F44)&amp;" tim * tjänsteomfattning "&amp;TEXT(N8*1000,"## %)"),"")</f>
        <v>Normalarbetstid för månaden</v>
      </c>
      <c r="I47" s="17"/>
      <c r="J47" s="57"/>
      <c r="K47" s="57"/>
      <c r="L47" s="57"/>
      <c r="M47" s="57"/>
      <c r="N47" s="58"/>
      <c r="O47" s="59"/>
      <c r="P47" s="198">
        <f ca="1">IF(AND(TODAY()&gt;=H14,MONTH(H14)&gt;=MONTH(Grunddata!C22)),SUM(F14:F44)*N8,0)</f>
        <v>0</v>
      </c>
    </row>
    <row r="48" spans="1:17" ht="14.25" customHeight="1">
      <c r="A48" s="555"/>
      <c r="C48" s="314"/>
      <c r="D48" s="64"/>
      <c r="E48" s="64"/>
      <c r="F48" s="17"/>
      <c r="G48" s="17"/>
      <c r="H48" s="56" t="s">
        <v>35</v>
      </c>
      <c r="I48" s="17"/>
      <c r="J48" s="57"/>
      <c r="K48" s="61"/>
      <c r="L48" s="62"/>
      <c r="M48" s="63"/>
      <c r="N48" s="63"/>
      <c r="O48" s="63"/>
      <c r="P48" s="308">
        <f ca="1">IF(TODAY()&gt;=H14,IF(AND(MONTH(H14)=MONTH(Grunddata!C22),flyttsaldo&lt;&gt;0),flyttsaldo,JAN!P50),0)</f>
        <v>0</v>
      </c>
    </row>
    <row r="49" spans="1:16" ht="14.25" customHeight="1">
      <c r="A49" s="555"/>
      <c r="C49" s="314"/>
      <c r="D49" s="64"/>
      <c r="E49" s="64"/>
      <c r="F49" s="17"/>
      <c r="G49" s="17"/>
      <c r="H49" s="56" t="str">
        <f>IF(tjänst=1,"Över","Mer")&amp;"tidstimmar (ersättning utbetalad med "&amp;TEXT(H14,"MMMM")&amp;"lönen)"</f>
        <v>Övertidstimmar (ersättning utbetalad med februarilönen)</v>
      </c>
      <c r="I49" s="17"/>
      <c r="J49" s="57"/>
      <c r="K49" s="61"/>
      <c r="L49" s="62"/>
      <c r="M49" s="63"/>
      <c r="N49" s="63"/>
      <c r="O49" s="63"/>
      <c r="P49" s="372"/>
    </row>
    <row r="50" spans="1:16" ht="14.25" customHeight="1">
      <c r="A50" s="555"/>
      <c r="C50" s="314"/>
      <c r="D50" s="64"/>
      <c r="E50" s="64"/>
      <c r="F50" s="17"/>
      <c r="G50" s="17"/>
      <c r="H50" s="65" t="str">
        <f ca="1">IF(MONTH(H14)=MONTH(TODAY()),"Dagens saldo +/-","Nytt saldo +/-")</f>
        <v>Nytt saldo +/-</v>
      </c>
      <c r="I50" s="66"/>
      <c r="J50" s="67"/>
      <c r="K50" s="68"/>
      <c r="L50" s="69"/>
      <c r="M50" s="69"/>
      <c r="N50" s="69"/>
      <c r="O50" s="69"/>
      <c r="P50" s="469">
        <f ca="1">IF(TODAY()&gt;=H14,P46-P47+P48-ABS(P49),0)</f>
        <v>0</v>
      </c>
    </row>
    <row r="51" spans="1:16" ht="14.25" customHeight="1" thickBot="1">
      <c r="A51" s="555"/>
      <c r="C51" s="314"/>
      <c r="D51" s="64"/>
      <c r="E51" s="64"/>
      <c r="F51" s="17"/>
      <c r="G51" s="17"/>
      <c r="H51" s="71" t="s">
        <v>29</v>
      </c>
      <c r="I51" s="72"/>
      <c r="J51" s="73"/>
      <c r="K51" s="74">
        <f ca="1">IF(L51&gt;0,"månadens: ",)</f>
        <v>0</v>
      </c>
      <c r="L51" s="75">
        <f ca="1">MOD(SUM(D14:D44),100)</f>
        <v>0</v>
      </c>
      <c r="M51" s="76">
        <f ca="1">IF(N51&gt;0,"årets: ",)</f>
        <v>0</v>
      </c>
      <c r="N51" s="75">
        <f ca="1">'2024'!K15</f>
        <v>0</v>
      </c>
      <c r="O51" s="77" t="str">
        <f ca="1">"  kvarstående:  "&amp;'2024'!$L15</f>
        <v xml:space="preserve">  kvarstående:  0</v>
      </c>
      <c r="P51" s="79"/>
    </row>
    <row r="52" spans="1:16" ht="12" customHeight="1">
      <c r="A52" s="555"/>
      <c r="C52" s="314"/>
      <c r="F52" s="466"/>
      <c r="G52" s="466"/>
      <c r="H52" s="427" t="s">
        <v>75</v>
      </c>
      <c r="I52" s="428"/>
      <c r="J52" s="429"/>
      <c r="K52" s="430" t="s">
        <v>27</v>
      </c>
      <c r="L52" s="431"/>
      <c r="M52" s="431"/>
      <c r="N52" s="432"/>
      <c r="O52" s="433"/>
      <c r="P52" s="434"/>
    </row>
    <row r="53" spans="1:16" ht="27.75" customHeight="1" thickBot="1">
      <c r="A53" s="555"/>
      <c r="F53" s="467"/>
      <c r="G53" s="467"/>
      <c r="H53" s="561"/>
      <c r="I53" s="562"/>
      <c r="J53" s="563"/>
      <c r="K53" s="7"/>
      <c r="L53" s="7"/>
      <c r="M53" s="7"/>
      <c r="N53" s="9"/>
      <c r="O53" s="3"/>
      <c r="P53" s="4"/>
    </row>
    <row r="54" spans="1:16" ht="12" customHeight="1" thickBot="1">
      <c r="A54" s="484"/>
    </row>
    <row r="55" spans="1:16" ht="12" customHeight="1">
      <c r="F55" s="125"/>
      <c r="G55" s="125"/>
      <c r="H55" s="5" t="s">
        <v>19</v>
      </c>
      <c r="I55" s="5"/>
      <c r="J55" s="427" t="s">
        <v>75</v>
      </c>
      <c r="K55" s="429"/>
      <c r="L55" s="430" t="s">
        <v>26</v>
      </c>
      <c r="M55" s="431"/>
      <c r="N55" s="432"/>
      <c r="O55" s="433"/>
      <c r="P55" s="435"/>
    </row>
    <row r="56" spans="1:16" ht="27.75" customHeight="1" thickBot="1">
      <c r="F56" s="125"/>
      <c r="G56" s="125"/>
      <c r="J56" s="11"/>
      <c r="K56" s="10"/>
      <c r="L56" s="7"/>
      <c r="M56" s="7"/>
      <c r="N56" s="9"/>
      <c r="O56" s="3"/>
      <c r="P56" s="4"/>
    </row>
    <row r="59" spans="1:16">
      <c r="C59" s="318"/>
      <c r="D59" s="64"/>
      <c r="E59" s="64"/>
      <c r="F59" s="17"/>
      <c r="G59" s="17"/>
    </row>
    <row r="60" spans="1:16">
      <c r="C60" s="318"/>
      <c r="D60" s="64"/>
      <c r="E60" s="64"/>
      <c r="F60" s="17"/>
      <c r="G60" s="17"/>
    </row>
    <row r="61" spans="1:16">
      <c r="C61" s="318"/>
      <c r="D61" s="64"/>
      <c r="E61" s="64"/>
      <c r="F61" s="17"/>
      <c r="G61" s="17"/>
    </row>
    <row r="62" spans="1:16">
      <c r="C62" s="318"/>
      <c r="D62" s="64"/>
      <c r="E62" s="64"/>
      <c r="F62" s="17"/>
      <c r="G62" s="17"/>
    </row>
    <row r="65" ht="12" customHeight="1"/>
  </sheetData>
  <sheetProtection password="C38D" sheet="1" objects="1" scenarios="1"/>
  <mergeCells count="4">
    <mergeCell ref="A46:A53"/>
    <mergeCell ref="B10:C10"/>
    <mergeCell ref="J13:O13"/>
    <mergeCell ref="H53:J53"/>
  </mergeCells>
  <phoneticPr fontId="0" type="noConversion"/>
  <conditionalFormatting sqref="A14">
    <cfRule type="cellIs" dxfId="21" priority="1" stopIfTrue="1" operator="greaterThan">
      <formula>0</formula>
    </cfRule>
  </conditionalFormatting>
  <conditionalFormatting sqref="J45 L48:L49">
    <cfRule type="cellIs" dxfId="20" priority="2" stopIfTrue="1" operator="greaterThan">
      <formula>0</formula>
    </cfRule>
  </conditionalFormatting>
  <dataValidations count="1">
    <dataValidation allowBlank="1" showInputMessage="1" showErrorMessage="1" error="Timme och minut måste skiljas med_x000a_- kolon på pc_x000a_- punkt på Mac" sqref="L5 J14:M44" xr:uid="{00000000-0002-0000-0700-000000000000}"/>
  </dataValidations>
  <printOptions verticalCentered="1"/>
  <pageMargins left="0.6692913385826772" right="0.47244094488188981" top="0.78740157480314965" bottom="0.62992125984251968" header="0.51181102362204722" footer="0.51181102362204722"/>
  <pageSetup paperSize="9" scale="87" orientation="portrait" blackAndWhite="1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Blad422">
    <pageSetUpPr fitToPage="1"/>
  </sheetPr>
  <dimension ref="A1:P62"/>
  <sheetViews>
    <sheetView showGridLines="0" showRowColHeaders="0" showZeros="0" topLeftCell="A9" zoomScale="80" workbookViewId="0">
      <pane ySplit="5" topLeftCell="A14" activePane="bottomLeft" state="frozenSplit"/>
      <selection activeCell="P9" sqref="P1:P65536"/>
      <selection pane="bottomLeft" activeCell="J14" sqref="J14"/>
    </sheetView>
  </sheetViews>
  <sheetFormatPr defaultColWidth="11.3828125" defaultRowHeight="12.45"/>
  <cols>
    <col min="1" max="1" width="2.84375" style="284" customWidth="1"/>
    <col min="2" max="2" width="8.84375" style="318" hidden="1" customWidth="1"/>
    <col min="3" max="3" width="4.53515625" style="320" hidden="1" customWidth="1"/>
    <col min="4" max="4" width="11.3828125" style="354" hidden="1" customWidth="1"/>
    <col min="5" max="5" width="8.3828125" style="354" hidden="1" customWidth="1"/>
    <col min="6" max="6" width="7.15234375" style="30" hidden="1" customWidth="1"/>
    <col min="7" max="7" width="1.53515625" style="30" hidden="1" customWidth="1"/>
    <col min="8" max="8" width="4.3828125" style="1" customWidth="1"/>
    <col min="9" max="9" width="7.53515625" style="1" customWidth="1"/>
    <col min="10" max="13" width="8.15234375" style="6" customWidth="1"/>
    <col min="14" max="14" width="11.07421875" style="8" customWidth="1"/>
    <col min="15" max="15" width="36.15234375" style="1" customWidth="1"/>
    <col min="16" max="16" width="11.15234375" style="1" customWidth="1"/>
    <col min="17" max="16384" width="11.3828125" style="1"/>
  </cols>
  <sheetData>
    <row r="1" spans="1:16" s="12" customFormat="1" ht="16" customHeight="1">
      <c r="A1" s="21" t="s">
        <v>30</v>
      </c>
      <c r="B1" s="315"/>
      <c r="C1" s="315"/>
      <c r="D1" s="272"/>
      <c r="E1" s="272"/>
      <c r="F1" s="272"/>
      <c r="G1" s="272"/>
      <c r="P1" s="174" t="s">
        <v>31</v>
      </c>
    </row>
    <row r="2" spans="1:16" s="115" customFormat="1" ht="14.25" customHeight="1">
      <c r="A2" s="145">
        <f>inst</f>
        <v>0</v>
      </c>
      <c r="B2" s="317"/>
      <c r="C2" s="317"/>
      <c r="D2" s="145"/>
      <c r="E2" s="145"/>
      <c r="F2" s="145"/>
      <c r="G2" s="145"/>
    </row>
    <row r="3" spans="1:16" s="166" customFormat="1" ht="15.75" customHeight="1">
      <c r="A3" s="17"/>
      <c r="B3" s="318"/>
      <c r="C3" s="318"/>
      <c r="D3" s="17"/>
      <c r="E3" s="17"/>
      <c r="F3" s="17"/>
      <c r="G3" s="17"/>
      <c r="L3" s="175"/>
    </row>
    <row r="4" spans="1:16" s="166" customFormat="1" ht="15.75" customHeight="1">
      <c r="A4" s="17"/>
      <c r="B4" s="318"/>
      <c r="C4" s="318"/>
      <c r="D4" s="176"/>
      <c r="E4" s="176"/>
      <c r="F4" s="17"/>
      <c r="G4" s="17"/>
      <c r="H4" s="17"/>
      <c r="I4" s="17"/>
      <c r="J4" s="17"/>
      <c r="K4" s="17"/>
      <c r="L4" s="17"/>
      <c r="M4" s="17"/>
      <c r="N4" s="17"/>
      <c r="O4" s="176" t="s">
        <v>34</v>
      </c>
      <c r="P4" s="32">
        <f>H14</f>
        <v>43890</v>
      </c>
    </row>
    <row r="5" spans="1:16" s="166" customFormat="1" ht="15.75" customHeight="1">
      <c r="A5" s="17"/>
      <c r="B5" s="318"/>
      <c r="C5" s="318"/>
      <c r="D5" s="176"/>
      <c r="E5" s="176"/>
      <c r="F5" s="17"/>
      <c r="G5" s="17"/>
      <c r="H5" s="17"/>
      <c r="I5" s="17"/>
      <c r="J5" s="17"/>
      <c r="K5" s="17"/>
      <c r="L5" s="17"/>
      <c r="M5" s="17"/>
      <c r="N5" s="17"/>
      <c r="O5" s="176" t="s">
        <v>33</v>
      </c>
      <c r="P5" s="33">
        <f>H14</f>
        <v>43890</v>
      </c>
    </row>
    <row r="6" spans="1:16" s="166" customFormat="1" ht="15.75" customHeight="1">
      <c r="A6" s="17"/>
      <c r="B6" s="17"/>
      <c r="C6" s="318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6" ht="12.75" customHeight="1" thickBot="1">
      <c r="A7" s="269"/>
      <c r="H7" s="422" t="s">
        <v>73</v>
      </c>
      <c r="I7" s="423"/>
      <c r="J7" s="423"/>
      <c r="K7" s="423"/>
      <c r="L7" s="423"/>
      <c r="M7" s="423"/>
      <c r="N7" s="422" t="s">
        <v>74</v>
      </c>
      <c r="O7" s="422" t="s">
        <v>72</v>
      </c>
      <c r="P7" s="424"/>
    </row>
    <row r="8" spans="1:16" s="2" customFormat="1" ht="17.25" customHeight="1" thickBot="1">
      <c r="A8" s="269"/>
      <c r="B8" s="318"/>
      <c r="C8" s="321"/>
      <c r="D8" s="453" t="s">
        <v>120</v>
      </c>
      <c r="E8" s="392">
        <f ca="1">INT((LEN(fel_1)+LEN(fel_2)+LEN(fel_3))/60)+COUNTIF(B14:C38,"1")</f>
        <v>3</v>
      </c>
      <c r="F8" s="323"/>
      <c r="G8" s="323"/>
      <c r="H8" s="39" t="str">
        <f>IF(namn&lt;&gt;"","  "&amp;namn,"")</f>
        <v/>
      </c>
      <c r="I8" s="40"/>
      <c r="J8" s="41"/>
      <c r="K8" s="41"/>
      <c r="L8" s="41"/>
      <c r="M8" s="41"/>
      <c r="N8" s="180">
        <f>tjänst</f>
        <v>1</v>
      </c>
      <c r="O8" s="42" t="str">
        <f>IF(p_nr&lt;&gt;"","  "&amp;p_nr,"")</f>
        <v/>
      </c>
      <c r="P8" s="287"/>
    </row>
    <row r="9" spans="1:16" s="2" customFormat="1" ht="3" customHeight="1">
      <c r="A9" s="269"/>
      <c r="B9" s="454"/>
      <c r="C9" s="455"/>
      <c r="D9" s="436"/>
      <c r="E9" s="436"/>
      <c r="F9" s="436"/>
      <c r="G9" s="402"/>
      <c r="H9" s="415"/>
      <c r="I9" s="415"/>
      <c r="J9" s="415"/>
      <c r="K9" s="415"/>
      <c r="L9" s="415"/>
      <c r="M9" s="415"/>
      <c r="N9" s="416"/>
      <c r="O9" s="417"/>
      <c r="P9" s="418"/>
    </row>
    <row r="10" spans="1:16" s="14" customFormat="1" ht="12.75" customHeight="1">
      <c r="A10" s="324"/>
      <c r="B10" s="559" t="s">
        <v>135</v>
      </c>
      <c r="C10" s="560"/>
      <c r="D10" s="437" t="s">
        <v>119</v>
      </c>
      <c r="E10" s="437" t="s">
        <v>121</v>
      </c>
      <c r="F10" s="438" t="s">
        <v>116</v>
      </c>
      <c r="G10" s="390"/>
      <c r="H10" s="409" t="s">
        <v>88</v>
      </c>
      <c r="I10" s="409" t="s">
        <v>39</v>
      </c>
      <c r="J10" s="410" t="s">
        <v>14</v>
      </c>
      <c r="K10" s="410" t="s">
        <v>15</v>
      </c>
      <c r="L10" s="410" t="s">
        <v>15</v>
      </c>
      <c r="M10" s="410" t="s">
        <v>14</v>
      </c>
      <c r="N10" s="411" t="s">
        <v>145</v>
      </c>
      <c r="O10" s="409" t="s">
        <v>76</v>
      </c>
      <c r="P10" s="412" t="s">
        <v>77</v>
      </c>
    </row>
    <row r="11" spans="1:16" s="14" customFormat="1" ht="12.75" customHeight="1">
      <c r="A11" s="324"/>
      <c r="B11" s="439" t="s">
        <v>118</v>
      </c>
      <c r="C11" s="456" t="s">
        <v>101</v>
      </c>
      <c r="D11" s="437" t="s">
        <v>118</v>
      </c>
      <c r="E11" s="437" t="s">
        <v>122</v>
      </c>
      <c r="F11" s="439" t="s">
        <v>117</v>
      </c>
      <c r="G11" s="391"/>
      <c r="H11" s="409" t="s">
        <v>9</v>
      </c>
      <c r="I11" s="409" t="s">
        <v>10</v>
      </c>
      <c r="J11" s="413" t="s">
        <v>16</v>
      </c>
      <c r="K11" s="414" t="s">
        <v>16</v>
      </c>
      <c r="L11" s="414" t="s">
        <v>17</v>
      </c>
      <c r="M11" s="410" t="s">
        <v>18</v>
      </c>
      <c r="N11" s="419" t="str">
        <f ca="1">IF(INFO("system")="mac","tim.minut","tim:minut")</f>
        <v>tim:minut</v>
      </c>
      <c r="O11" s="420" t="s">
        <v>164</v>
      </c>
      <c r="P11" s="421" t="s">
        <v>161</v>
      </c>
    </row>
    <row r="12" spans="1:16" s="2" customFormat="1" ht="3" customHeight="1">
      <c r="A12" s="269"/>
      <c r="B12" s="439"/>
      <c r="C12" s="456"/>
      <c r="D12" s="439"/>
      <c r="E12" s="439"/>
      <c r="F12" s="439"/>
      <c r="G12" s="402"/>
      <c r="H12" s="409"/>
      <c r="I12" s="409"/>
      <c r="J12" s="409"/>
      <c r="K12" s="409"/>
      <c r="L12" s="409"/>
      <c r="M12" s="409"/>
      <c r="N12" s="425"/>
      <c r="O12" s="412"/>
      <c r="P12" s="426"/>
    </row>
    <row r="13" spans="1:16" s="172" customFormat="1" ht="18" customHeight="1" thickBot="1">
      <c r="A13" s="329"/>
      <c r="B13" s="449" t="s">
        <v>10</v>
      </c>
      <c r="C13" s="457" t="s">
        <v>102</v>
      </c>
      <c r="D13" s="448" t="s">
        <v>22</v>
      </c>
      <c r="E13" s="448" t="s">
        <v>123</v>
      </c>
      <c r="F13" s="449" t="s">
        <v>142</v>
      </c>
      <c r="G13" s="401"/>
      <c r="H13" s="167" t="str">
        <f>IF(LEN(J13)&gt;0,"  INFO:","")</f>
        <v xml:space="preserve">  INFO:</v>
      </c>
      <c r="I13" s="168"/>
      <c r="J13" s="544" t="str">
        <f>IF(LEN(fel_1)&gt;0,fel_1,IF(LEN(fel_2)&gt;0,fel_2,IF(LEN(fel_3)&gt;0,fel_3,IF(LEN(fel_4)&gt;0,fel_4,IF(SUMIF(B14:B44,"&gt;0"),semfel_1&amp;TEXT(VLOOKUP(1,B14:P44,7),"D MMM")&amp;semfel_2,IF(COUNTIF(C14:C44,"1"),ändr_fel,""))))))</f>
        <v>Du har glömt ange namn och/eller personnr på fliken "Grunddata"!</v>
      </c>
      <c r="K13" s="545"/>
      <c r="L13" s="545"/>
      <c r="M13" s="545"/>
      <c r="N13" s="545"/>
      <c r="O13" s="545"/>
      <c r="P13" s="171" t="str">
        <f ca="1">IF(E8&gt;1,"Tot. "&amp;E8&amp;" fel","")</f>
        <v>Tot. 3 fel</v>
      </c>
    </row>
    <row r="14" spans="1:16" ht="17.25" customHeight="1">
      <c r="A14" s="334"/>
      <c r="B14" s="479" t="str">
        <f t="shared" ref="B14:B44" ca="1" si="0">IF(AND(F14="ej sem",OR(LEFT(O14,3)="sem",LEFT(O14,4)="sjuk")),1,"")</f>
        <v/>
      </c>
      <c r="C14" s="480" t="str">
        <f t="shared" ref="C14:C44" ca="1" si="1">IF(NOT(ISERROR(E14)),"",IF(N14&lt;&gt;"",IF(ERROR.TYPE(E14)=3,1,),))</f>
        <v/>
      </c>
      <c r="D14" s="388">
        <f t="shared" ref="D14:D44" ca="1" si="2">IF(TODAY()&gt;=H14,IF(AND(LEFT(O14,3)="SEM",F14&lt;&gt;"ej sem"),1,IF(AND(LEFT(O14,4)="sjuk",F14&lt;&gt;"ej sem"),100,0)),0)</f>
        <v>0</v>
      </c>
      <c r="E14" s="381">
        <f t="shared" ref="E14:E44" ca="1" si="3">IF(AND(TODAY()&gt;=H14,F14&gt;0,OR(J14&gt;0,L14&gt;0,N14&lt;&gt;0)),((M14-L14+K14-J14)+IF(ISBLANK(N14),0,IF(LEFT(N14,1)="-",-TIMEVALUE(RIGHT(N14,LEN(N14)-1)),IF(LEFT(N14,1)="+",TIMEVALUE(RIGHT(N14,LEN(N14)-1)),TIMEVALUE(N14)))))*24,IF(OR(D14=1,D14=100),F14*tjänst,0))</f>
        <v>0</v>
      </c>
      <c r="F14" s="183">
        <f ca="1">IF(AND(H14&gt;=startdag,H14&lt;=slutdag),IF(TODAY()&gt;=H14,Normtid!J5,0),0)</f>
        <v>0</v>
      </c>
      <c r="G14" s="403"/>
      <c r="H14" s="375">
        <f>Normtid!I5</f>
        <v>43890</v>
      </c>
      <c r="I14" s="376" t="str">
        <f t="shared" ref="I14:I44" si="4">PROPER(TEXT(WEEKDAY(H14)+1,"DDD"))</f>
        <v>Fre</v>
      </c>
      <c r="J14" s="377"/>
      <c r="K14" s="377"/>
      <c r="L14" s="377"/>
      <c r="M14" s="378"/>
      <c r="N14" s="379"/>
      <c r="O14" s="380" t="str">
        <f>Normtid!$K5</f>
        <v/>
      </c>
      <c r="P14" s="381">
        <f t="shared" ref="P14:P44" ca="1" si="5">IF(E14&lt;&gt;0,E14,0)</f>
        <v>0</v>
      </c>
    </row>
    <row r="15" spans="1:16" ht="15.75" customHeight="1">
      <c r="B15" s="460" t="str">
        <f t="shared" ca="1" si="0"/>
        <v/>
      </c>
      <c r="C15" s="461" t="str">
        <f t="shared" ca="1" si="1"/>
        <v/>
      </c>
      <c r="D15" s="195">
        <f t="shared" ca="1" si="2"/>
        <v>0</v>
      </c>
      <c r="E15" s="196">
        <f t="shared" ca="1" si="3"/>
        <v>0</v>
      </c>
      <c r="F15" s="191">
        <f ca="1">IF(AND(H15&gt;=startdag,H15&lt;=slutdag),IF(TODAY()&gt;=H15,Normtid!J6,0),0)</f>
        <v>0</v>
      </c>
      <c r="G15" s="403"/>
      <c r="H15" s="189">
        <f>Normtid!I6</f>
        <v>43891</v>
      </c>
      <c r="I15" s="190" t="str">
        <f t="shared" si="4"/>
        <v>Lör</v>
      </c>
      <c r="J15" s="192"/>
      <c r="K15" s="192"/>
      <c r="L15" s="192"/>
      <c r="M15" s="192"/>
      <c r="N15" s="383"/>
      <c r="O15" s="194" t="str">
        <f>Normtid!$K6</f>
        <v/>
      </c>
      <c r="P15" s="196">
        <f t="shared" ca="1" si="5"/>
        <v>0</v>
      </c>
    </row>
    <row r="16" spans="1:16" ht="15.75" customHeight="1">
      <c r="B16" s="462" t="str">
        <f t="shared" ca="1" si="0"/>
        <v/>
      </c>
      <c r="C16" s="463" t="str">
        <f t="shared" ca="1" si="1"/>
        <v/>
      </c>
      <c r="D16" s="388">
        <f t="shared" ca="1" si="2"/>
        <v>0</v>
      </c>
      <c r="E16" s="188">
        <f t="shared" ca="1" si="3"/>
        <v>0</v>
      </c>
      <c r="F16" s="183">
        <f ca="1">IF(AND(H16&gt;=startdag,H16&lt;=slutdag),IF(TODAY()&gt;=H16,Normtid!J7,0),0)</f>
        <v>0</v>
      </c>
      <c r="G16" s="403"/>
      <c r="H16" s="181">
        <f>Normtid!I7</f>
        <v>43892</v>
      </c>
      <c r="I16" s="182" t="str">
        <f t="shared" si="4"/>
        <v>Sön</v>
      </c>
      <c r="J16" s="184"/>
      <c r="K16" s="184"/>
      <c r="L16" s="184"/>
      <c r="M16" s="184"/>
      <c r="N16" s="379"/>
      <c r="O16" s="186" t="str">
        <f>Normtid!$K7</f>
        <v/>
      </c>
      <c r="P16" s="188">
        <f t="shared" ca="1" si="5"/>
        <v>0</v>
      </c>
    </row>
    <row r="17" spans="2:16" ht="15.75" customHeight="1">
      <c r="B17" s="460" t="str">
        <f t="shared" ca="1" si="0"/>
        <v/>
      </c>
      <c r="C17" s="461" t="str">
        <f t="shared" ca="1" si="1"/>
        <v/>
      </c>
      <c r="D17" s="195">
        <f t="shared" ca="1" si="2"/>
        <v>0</v>
      </c>
      <c r="E17" s="196">
        <f t="shared" ca="1" si="3"/>
        <v>0</v>
      </c>
      <c r="F17" s="191">
        <f ca="1">IF(AND(H17&gt;=startdag,H17&lt;=slutdag),IF(TODAY()&gt;=H17,Normtid!J8,0),0)</f>
        <v>0</v>
      </c>
      <c r="G17" s="403"/>
      <c r="H17" s="189">
        <f>Normtid!I8</f>
        <v>43893</v>
      </c>
      <c r="I17" s="190" t="str">
        <f t="shared" si="4"/>
        <v>Mån</v>
      </c>
      <c r="J17" s="192"/>
      <c r="K17" s="192"/>
      <c r="L17" s="192"/>
      <c r="M17" s="192"/>
      <c r="N17" s="383"/>
      <c r="O17" s="194" t="str">
        <f>Normtid!$K8</f>
        <v/>
      </c>
      <c r="P17" s="196">
        <f t="shared" ca="1" si="5"/>
        <v>0</v>
      </c>
    </row>
    <row r="18" spans="2:16" ht="15.75" customHeight="1">
      <c r="B18" s="462" t="str">
        <f t="shared" ca="1" si="0"/>
        <v/>
      </c>
      <c r="C18" s="463" t="str">
        <f t="shared" ca="1" si="1"/>
        <v/>
      </c>
      <c r="D18" s="388">
        <f t="shared" ca="1" si="2"/>
        <v>0</v>
      </c>
      <c r="E18" s="188">
        <f t="shared" ca="1" si="3"/>
        <v>0</v>
      </c>
      <c r="F18" s="183">
        <f ca="1">IF(AND(H18&gt;=startdag,H18&lt;=slutdag),IF(TODAY()&gt;=H18,Normtid!J9,0),0)</f>
        <v>0</v>
      </c>
      <c r="G18" s="403"/>
      <c r="H18" s="181">
        <f>Normtid!I9</f>
        <v>43894</v>
      </c>
      <c r="I18" s="182" t="str">
        <f t="shared" si="4"/>
        <v>Tis</v>
      </c>
      <c r="J18" s="184"/>
      <c r="K18" s="184"/>
      <c r="L18" s="184"/>
      <c r="M18" s="184"/>
      <c r="N18" s="379"/>
      <c r="O18" s="186" t="str">
        <f>Normtid!$K9</f>
        <v/>
      </c>
      <c r="P18" s="188">
        <f t="shared" ca="1" si="5"/>
        <v>0</v>
      </c>
    </row>
    <row r="19" spans="2:16" ht="15.75" customHeight="1">
      <c r="B19" s="460" t="str">
        <f t="shared" ca="1" si="0"/>
        <v/>
      </c>
      <c r="C19" s="461" t="str">
        <f t="shared" ca="1" si="1"/>
        <v/>
      </c>
      <c r="D19" s="195">
        <f t="shared" ca="1" si="2"/>
        <v>0</v>
      </c>
      <c r="E19" s="196">
        <f t="shared" ca="1" si="3"/>
        <v>0</v>
      </c>
      <c r="F19" s="191">
        <f ca="1">IF(AND(H19&gt;=startdag,H19&lt;=slutdag),IF(TODAY()&gt;=H19,Normtid!J10,0),0)</f>
        <v>0</v>
      </c>
      <c r="G19" s="403"/>
      <c r="H19" s="189">
        <f>Normtid!I10</f>
        <v>43895</v>
      </c>
      <c r="I19" s="190" t="str">
        <f t="shared" si="4"/>
        <v>Ons</v>
      </c>
      <c r="J19" s="192"/>
      <c r="K19" s="192"/>
      <c r="L19" s="192"/>
      <c r="M19" s="192"/>
      <c r="N19" s="383"/>
      <c r="O19" s="194" t="str">
        <f>Normtid!$K10</f>
        <v/>
      </c>
      <c r="P19" s="196">
        <f t="shared" ca="1" si="5"/>
        <v>0</v>
      </c>
    </row>
    <row r="20" spans="2:16" ht="15.75" customHeight="1">
      <c r="B20" s="462" t="str">
        <f t="shared" ca="1" si="0"/>
        <v/>
      </c>
      <c r="C20" s="463" t="str">
        <f t="shared" ca="1" si="1"/>
        <v/>
      </c>
      <c r="D20" s="388">
        <f t="shared" ca="1" si="2"/>
        <v>0</v>
      </c>
      <c r="E20" s="188">
        <f t="shared" ca="1" si="3"/>
        <v>0</v>
      </c>
      <c r="F20" s="183">
        <f ca="1">IF(AND(H20&gt;=startdag,H20&lt;=slutdag),IF(TODAY()&gt;=H20,Normtid!J11,0),0)</f>
        <v>0</v>
      </c>
      <c r="G20" s="403"/>
      <c r="H20" s="181">
        <f>Normtid!I11</f>
        <v>43896</v>
      </c>
      <c r="I20" s="182" t="str">
        <f t="shared" si="4"/>
        <v>Tor</v>
      </c>
      <c r="J20" s="184"/>
      <c r="K20" s="184"/>
      <c r="L20" s="184"/>
      <c r="M20" s="184"/>
      <c r="N20" s="379"/>
      <c r="O20" s="186" t="str">
        <f>Normtid!$K11</f>
        <v/>
      </c>
      <c r="P20" s="188">
        <f t="shared" ca="1" si="5"/>
        <v>0</v>
      </c>
    </row>
    <row r="21" spans="2:16" ht="15.75" customHeight="1">
      <c r="B21" s="460" t="str">
        <f t="shared" ca="1" si="0"/>
        <v/>
      </c>
      <c r="C21" s="461" t="str">
        <f t="shared" ca="1" si="1"/>
        <v/>
      </c>
      <c r="D21" s="195">
        <f t="shared" ca="1" si="2"/>
        <v>0</v>
      </c>
      <c r="E21" s="196">
        <f t="shared" ca="1" si="3"/>
        <v>0</v>
      </c>
      <c r="F21" s="191">
        <f ca="1">IF(AND(H21&gt;=startdag,H21&lt;=slutdag),IF(TODAY()&gt;=H21,Normtid!J12,0),0)</f>
        <v>0</v>
      </c>
      <c r="G21" s="403"/>
      <c r="H21" s="189">
        <f>Normtid!I12</f>
        <v>43897</v>
      </c>
      <c r="I21" s="190" t="str">
        <f t="shared" si="4"/>
        <v>Fre</v>
      </c>
      <c r="J21" s="192"/>
      <c r="K21" s="192"/>
      <c r="L21" s="192"/>
      <c r="M21" s="192"/>
      <c r="N21" s="383"/>
      <c r="O21" s="194" t="str">
        <f>Normtid!$K12</f>
        <v/>
      </c>
      <c r="P21" s="196">
        <f t="shared" ca="1" si="5"/>
        <v>0</v>
      </c>
    </row>
    <row r="22" spans="2:16" ht="15.75" customHeight="1">
      <c r="B22" s="462" t="str">
        <f t="shared" ca="1" si="0"/>
        <v/>
      </c>
      <c r="C22" s="463" t="str">
        <f t="shared" ca="1" si="1"/>
        <v/>
      </c>
      <c r="D22" s="388">
        <f t="shared" ca="1" si="2"/>
        <v>0</v>
      </c>
      <c r="E22" s="188">
        <f t="shared" ca="1" si="3"/>
        <v>0</v>
      </c>
      <c r="F22" s="183">
        <f ca="1">IF(AND(H22&gt;=startdag,H22&lt;=slutdag),IF(TODAY()&gt;=H22,Normtid!J13,0),0)</f>
        <v>0</v>
      </c>
      <c r="G22" s="403"/>
      <c r="H22" s="181">
        <f>Normtid!I13</f>
        <v>43898</v>
      </c>
      <c r="I22" s="182" t="str">
        <f t="shared" si="4"/>
        <v>Lör</v>
      </c>
      <c r="J22" s="184"/>
      <c r="K22" s="184"/>
      <c r="L22" s="184"/>
      <c r="M22" s="184"/>
      <c r="N22" s="379"/>
      <c r="O22" s="186" t="str">
        <f>Normtid!$K13</f>
        <v/>
      </c>
      <c r="P22" s="188">
        <f t="shared" ca="1" si="5"/>
        <v>0</v>
      </c>
    </row>
    <row r="23" spans="2:16" ht="15.75" customHeight="1">
      <c r="B23" s="460" t="str">
        <f t="shared" ca="1" si="0"/>
        <v/>
      </c>
      <c r="C23" s="461" t="str">
        <f t="shared" ca="1" si="1"/>
        <v/>
      </c>
      <c r="D23" s="195">
        <f t="shared" ca="1" si="2"/>
        <v>0</v>
      </c>
      <c r="E23" s="196">
        <f t="shared" ca="1" si="3"/>
        <v>0</v>
      </c>
      <c r="F23" s="191">
        <f ca="1">IF(AND(H23&gt;=startdag,H23&lt;=slutdag),IF(TODAY()&gt;=H23,Normtid!J14,0),0)</f>
        <v>0</v>
      </c>
      <c r="G23" s="403"/>
      <c r="H23" s="189">
        <f>Normtid!I14</f>
        <v>43899</v>
      </c>
      <c r="I23" s="190" t="str">
        <f t="shared" si="4"/>
        <v>Sön</v>
      </c>
      <c r="J23" s="192"/>
      <c r="K23" s="192"/>
      <c r="L23" s="192"/>
      <c r="M23" s="192"/>
      <c r="N23" s="383"/>
      <c r="O23" s="194" t="str">
        <f>Normtid!$K14</f>
        <v/>
      </c>
      <c r="P23" s="196">
        <f t="shared" ca="1" si="5"/>
        <v>0</v>
      </c>
    </row>
    <row r="24" spans="2:16" ht="15.75" customHeight="1">
      <c r="B24" s="462" t="str">
        <f t="shared" ca="1" si="0"/>
        <v/>
      </c>
      <c r="C24" s="463" t="str">
        <f t="shared" ca="1" si="1"/>
        <v/>
      </c>
      <c r="D24" s="388">
        <f t="shared" ca="1" si="2"/>
        <v>0</v>
      </c>
      <c r="E24" s="188">
        <f t="shared" ca="1" si="3"/>
        <v>0</v>
      </c>
      <c r="F24" s="183">
        <f ca="1">IF(AND(H24&gt;=startdag,H24&lt;=slutdag),IF(TODAY()&gt;=H24,Normtid!J15,0),0)</f>
        <v>0</v>
      </c>
      <c r="G24" s="403"/>
      <c r="H24" s="181">
        <f>Normtid!I15</f>
        <v>43900</v>
      </c>
      <c r="I24" s="182" t="str">
        <f t="shared" si="4"/>
        <v>Mån</v>
      </c>
      <c r="J24" s="184"/>
      <c r="K24" s="184"/>
      <c r="L24" s="184"/>
      <c r="M24" s="184"/>
      <c r="N24" s="379"/>
      <c r="O24" s="186" t="str">
        <f>Normtid!$K15</f>
        <v/>
      </c>
      <c r="P24" s="188">
        <f t="shared" ca="1" si="5"/>
        <v>0</v>
      </c>
    </row>
    <row r="25" spans="2:16" ht="15.75" customHeight="1">
      <c r="B25" s="460" t="str">
        <f t="shared" ca="1" si="0"/>
        <v/>
      </c>
      <c r="C25" s="461" t="str">
        <f t="shared" ca="1" si="1"/>
        <v/>
      </c>
      <c r="D25" s="195">
        <f t="shared" ca="1" si="2"/>
        <v>0</v>
      </c>
      <c r="E25" s="196">
        <f t="shared" ca="1" si="3"/>
        <v>0</v>
      </c>
      <c r="F25" s="191">
        <f ca="1">IF(AND(H25&gt;=startdag,H25&lt;=slutdag),IF(TODAY()&gt;=H25,Normtid!J16,0),0)</f>
        <v>0</v>
      </c>
      <c r="G25" s="403"/>
      <c r="H25" s="189">
        <f>Normtid!I16</f>
        <v>43901</v>
      </c>
      <c r="I25" s="190" t="str">
        <f t="shared" si="4"/>
        <v>Tis</v>
      </c>
      <c r="J25" s="192"/>
      <c r="K25" s="192"/>
      <c r="L25" s="192"/>
      <c r="M25" s="192"/>
      <c r="N25" s="383"/>
      <c r="O25" s="194" t="str">
        <f>Normtid!$K16</f>
        <v/>
      </c>
      <c r="P25" s="196">
        <f t="shared" ca="1" si="5"/>
        <v>0</v>
      </c>
    </row>
    <row r="26" spans="2:16" ht="15.75" customHeight="1">
      <c r="B26" s="462" t="str">
        <f t="shared" ca="1" si="0"/>
        <v/>
      </c>
      <c r="C26" s="463" t="str">
        <f t="shared" ca="1" si="1"/>
        <v/>
      </c>
      <c r="D26" s="388">
        <f t="shared" ca="1" si="2"/>
        <v>0</v>
      </c>
      <c r="E26" s="188">
        <f t="shared" ca="1" si="3"/>
        <v>0</v>
      </c>
      <c r="F26" s="183">
        <f ca="1">IF(AND(H26&gt;=startdag,H26&lt;=slutdag),IF(TODAY()&gt;=H26,Normtid!J17,0),0)</f>
        <v>0</v>
      </c>
      <c r="G26" s="403"/>
      <c r="H26" s="181">
        <f>Normtid!I17</f>
        <v>43902</v>
      </c>
      <c r="I26" s="182" t="str">
        <f t="shared" si="4"/>
        <v>Ons</v>
      </c>
      <c r="J26" s="184"/>
      <c r="K26" s="184"/>
      <c r="L26" s="184"/>
      <c r="M26" s="184"/>
      <c r="N26" s="379"/>
      <c r="O26" s="186" t="str">
        <f>Normtid!$K17</f>
        <v/>
      </c>
      <c r="P26" s="188">
        <f t="shared" ca="1" si="5"/>
        <v>0</v>
      </c>
    </row>
    <row r="27" spans="2:16" ht="15.75" customHeight="1">
      <c r="B27" s="460" t="str">
        <f t="shared" ca="1" si="0"/>
        <v/>
      </c>
      <c r="C27" s="461" t="str">
        <f t="shared" ca="1" si="1"/>
        <v/>
      </c>
      <c r="D27" s="195">
        <f t="shared" ca="1" si="2"/>
        <v>0</v>
      </c>
      <c r="E27" s="196">
        <f t="shared" ca="1" si="3"/>
        <v>0</v>
      </c>
      <c r="F27" s="191">
        <f ca="1">IF(AND(H27&gt;=startdag,H27&lt;=slutdag),IF(TODAY()&gt;=H27,Normtid!J18,0),0)</f>
        <v>0</v>
      </c>
      <c r="G27" s="403"/>
      <c r="H27" s="189">
        <f>Normtid!I18</f>
        <v>43903</v>
      </c>
      <c r="I27" s="190" t="str">
        <f t="shared" si="4"/>
        <v>Tor</v>
      </c>
      <c r="J27" s="192"/>
      <c r="K27" s="192"/>
      <c r="L27" s="192"/>
      <c r="M27" s="192"/>
      <c r="N27" s="383"/>
      <c r="O27" s="194" t="str">
        <f>Normtid!$K18</f>
        <v/>
      </c>
      <c r="P27" s="196">
        <f t="shared" ca="1" si="5"/>
        <v>0</v>
      </c>
    </row>
    <row r="28" spans="2:16" ht="15.75" customHeight="1">
      <c r="B28" s="462" t="str">
        <f t="shared" ca="1" si="0"/>
        <v/>
      </c>
      <c r="C28" s="463" t="str">
        <f t="shared" ca="1" si="1"/>
        <v/>
      </c>
      <c r="D28" s="388">
        <f t="shared" ca="1" si="2"/>
        <v>0</v>
      </c>
      <c r="E28" s="188">
        <f t="shared" ca="1" si="3"/>
        <v>0</v>
      </c>
      <c r="F28" s="183">
        <f ca="1">IF(AND(H28&gt;=startdag,H28&lt;=slutdag),IF(TODAY()&gt;=H28,Normtid!J19,0),0)</f>
        <v>0</v>
      </c>
      <c r="G28" s="403"/>
      <c r="H28" s="181">
        <f>Normtid!I19</f>
        <v>43904</v>
      </c>
      <c r="I28" s="182" t="str">
        <f t="shared" si="4"/>
        <v>Fre</v>
      </c>
      <c r="J28" s="184"/>
      <c r="K28" s="184"/>
      <c r="L28" s="184"/>
      <c r="M28" s="184"/>
      <c r="N28" s="379"/>
      <c r="O28" s="186" t="str">
        <f>Normtid!$K19</f>
        <v/>
      </c>
      <c r="P28" s="188">
        <f t="shared" ca="1" si="5"/>
        <v>0</v>
      </c>
    </row>
    <row r="29" spans="2:16" ht="15.75" customHeight="1">
      <c r="B29" s="460" t="str">
        <f t="shared" ca="1" si="0"/>
        <v/>
      </c>
      <c r="C29" s="461" t="str">
        <f t="shared" ca="1" si="1"/>
        <v/>
      </c>
      <c r="D29" s="195">
        <f t="shared" ca="1" si="2"/>
        <v>0</v>
      </c>
      <c r="E29" s="196">
        <f t="shared" ca="1" si="3"/>
        <v>0</v>
      </c>
      <c r="F29" s="191">
        <f ca="1">IF(AND(H29&gt;=startdag,H29&lt;=slutdag),IF(TODAY()&gt;=H29,Normtid!J20,0),0)</f>
        <v>0</v>
      </c>
      <c r="G29" s="403"/>
      <c r="H29" s="189">
        <f>Normtid!I20</f>
        <v>43905</v>
      </c>
      <c r="I29" s="190" t="str">
        <f t="shared" si="4"/>
        <v>Lör</v>
      </c>
      <c r="J29" s="192"/>
      <c r="K29" s="192"/>
      <c r="L29" s="192"/>
      <c r="M29" s="192"/>
      <c r="N29" s="383"/>
      <c r="O29" s="194" t="str">
        <f>Normtid!$K20</f>
        <v/>
      </c>
      <c r="P29" s="196">
        <f t="shared" ca="1" si="5"/>
        <v>0</v>
      </c>
    </row>
    <row r="30" spans="2:16" ht="15.75" customHeight="1">
      <c r="B30" s="462" t="str">
        <f t="shared" ca="1" si="0"/>
        <v/>
      </c>
      <c r="C30" s="463" t="str">
        <f t="shared" ca="1" si="1"/>
        <v/>
      </c>
      <c r="D30" s="388">
        <f t="shared" ca="1" si="2"/>
        <v>0</v>
      </c>
      <c r="E30" s="188">
        <f t="shared" ca="1" si="3"/>
        <v>0</v>
      </c>
      <c r="F30" s="183">
        <f ca="1">IF(AND(H30&gt;=startdag,H30&lt;=slutdag),IF(TODAY()&gt;=H30,Normtid!J21,0),0)</f>
        <v>0</v>
      </c>
      <c r="G30" s="403"/>
      <c r="H30" s="181">
        <f>Normtid!I21</f>
        <v>43906</v>
      </c>
      <c r="I30" s="182" t="str">
        <f t="shared" si="4"/>
        <v>Sön</v>
      </c>
      <c r="J30" s="184"/>
      <c r="K30" s="184"/>
      <c r="L30" s="184"/>
      <c r="M30" s="184"/>
      <c r="N30" s="379"/>
      <c r="O30" s="186" t="str">
        <f>Normtid!$K21</f>
        <v/>
      </c>
      <c r="P30" s="188">
        <f t="shared" ca="1" si="5"/>
        <v>0</v>
      </c>
    </row>
    <row r="31" spans="2:16" ht="15.75" customHeight="1">
      <c r="B31" s="460" t="str">
        <f t="shared" ca="1" si="0"/>
        <v/>
      </c>
      <c r="C31" s="461" t="str">
        <f t="shared" ca="1" si="1"/>
        <v/>
      </c>
      <c r="D31" s="195">
        <f t="shared" ca="1" si="2"/>
        <v>0</v>
      </c>
      <c r="E31" s="196">
        <f t="shared" ca="1" si="3"/>
        <v>0</v>
      </c>
      <c r="F31" s="191">
        <f ca="1">IF(AND(H31&gt;=startdag,H31&lt;=slutdag),IF(TODAY()&gt;=H31,Normtid!J22,0),0)</f>
        <v>0</v>
      </c>
      <c r="G31" s="403"/>
      <c r="H31" s="189">
        <f>Normtid!I22</f>
        <v>43907</v>
      </c>
      <c r="I31" s="190" t="str">
        <f t="shared" si="4"/>
        <v>Mån</v>
      </c>
      <c r="J31" s="192"/>
      <c r="K31" s="192"/>
      <c r="L31" s="192"/>
      <c r="M31" s="192"/>
      <c r="N31" s="383"/>
      <c r="O31" s="194" t="str">
        <f>Normtid!$K22</f>
        <v/>
      </c>
      <c r="P31" s="196">
        <f t="shared" ca="1" si="5"/>
        <v>0</v>
      </c>
    </row>
    <row r="32" spans="2:16" ht="15.75" customHeight="1">
      <c r="B32" s="462" t="str">
        <f t="shared" ca="1" si="0"/>
        <v/>
      </c>
      <c r="C32" s="463" t="str">
        <f t="shared" ca="1" si="1"/>
        <v/>
      </c>
      <c r="D32" s="388">
        <f t="shared" ca="1" si="2"/>
        <v>0</v>
      </c>
      <c r="E32" s="188">
        <f t="shared" ca="1" si="3"/>
        <v>0</v>
      </c>
      <c r="F32" s="183">
        <f ca="1">IF(AND(H32&gt;=startdag,H32&lt;=slutdag),IF(TODAY()&gt;=H32,Normtid!J23,0),0)</f>
        <v>0</v>
      </c>
      <c r="G32" s="403"/>
      <c r="H32" s="181">
        <f>Normtid!I23</f>
        <v>43908</v>
      </c>
      <c r="I32" s="182" t="str">
        <f t="shared" si="4"/>
        <v>Tis</v>
      </c>
      <c r="J32" s="184"/>
      <c r="K32" s="184"/>
      <c r="L32" s="184"/>
      <c r="M32" s="184"/>
      <c r="N32" s="379"/>
      <c r="O32" s="186" t="str">
        <f>Normtid!$K23</f>
        <v/>
      </c>
      <c r="P32" s="188">
        <f t="shared" ca="1" si="5"/>
        <v>0</v>
      </c>
    </row>
    <row r="33" spans="1:16" ht="15.75" customHeight="1">
      <c r="B33" s="460" t="str">
        <f t="shared" ca="1" si="0"/>
        <v/>
      </c>
      <c r="C33" s="461" t="str">
        <f t="shared" ca="1" si="1"/>
        <v/>
      </c>
      <c r="D33" s="195">
        <f t="shared" ca="1" si="2"/>
        <v>0</v>
      </c>
      <c r="E33" s="196">
        <f t="shared" ca="1" si="3"/>
        <v>0</v>
      </c>
      <c r="F33" s="191">
        <f ca="1">IF(AND(H33&gt;=startdag,H33&lt;=slutdag),IF(TODAY()&gt;=H33,Normtid!J24,0),0)</f>
        <v>0</v>
      </c>
      <c r="G33" s="403"/>
      <c r="H33" s="189">
        <f>Normtid!I24</f>
        <v>43909</v>
      </c>
      <c r="I33" s="190" t="str">
        <f t="shared" si="4"/>
        <v>Ons</v>
      </c>
      <c r="J33" s="192"/>
      <c r="K33" s="192"/>
      <c r="L33" s="192"/>
      <c r="M33" s="192"/>
      <c r="N33" s="383"/>
      <c r="O33" s="194" t="str">
        <f>Normtid!$K24</f>
        <v/>
      </c>
      <c r="P33" s="196">
        <f t="shared" ca="1" si="5"/>
        <v>0</v>
      </c>
    </row>
    <row r="34" spans="1:16" ht="15.75" customHeight="1">
      <c r="B34" s="462" t="str">
        <f t="shared" ca="1" si="0"/>
        <v/>
      </c>
      <c r="C34" s="463" t="str">
        <f t="shared" ca="1" si="1"/>
        <v/>
      </c>
      <c r="D34" s="388">
        <f t="shared" ca="1" si="2"/>
        <v>0</v>
      </c>
      <c r="E34" s="188">
        <f t="shared" ca="1" si="3"/>
        <v>0</v>
      </c>
      <c r="F34" s="183">
        <f ca="1">IF(AND(H34&gt;=startdag,H34&lt;=slutdag),IF(TODAY()&gt;=H34,Normtid!J25,0),0)</f>
        <v>0</v>
      </c>
      <c r="G34" s="403"/>
      <c r="H34" s="181">
        <f>Normtid!I25</f>
        <v>43910</v>
      </c>
      <c r="I34" s="182" t="str">
        <f t="shared" si="4"/>
        <v>Tor</v>
      </c>
      <c r="J34" s="184"/>
      <c r="K34" s="184"/>
      <c r="L34" s="184"/>
      <c r="M34" s="184"/>
      <c r="N34" s="379"/>
      <c r="O34" s="186" t="str">
        <f>Normtid!$K25</f>
        <v/>
      </c>
      <c r="P34" s="188">
        <f t="shared" ca="1" si="5"/>
        <v>0</v>
      </c>
    </row>
    <row r="35" spans="1:16" ht="15.75" customHeight="1">
      <c r="B35" s="460" t="str">
        <f t="shared" ca="1" si="0"/>
        <v/>
      </c>
      <c r="C35" s="461" t="str">
        <f t="shared" ca="1" si="1"/>
        <v/>
      </c>
      <c r="D35" s="195">
        <f t="shared" ca="1" si="2"/>
        <v>0</v>
      </c>
      <c r="E35" s="196">
        <f t="shared" ca="1" si="3"/>
        <v>0</v>
      </c>
      <c r="F35" s="191">
        <f ca="1">IF(AND(H35&gt;=startdag,H35&lt;=slutdag),IF(TODAY()&gt;=H35,Normtid!J26,0),0)</f>
        <v>0</v>
      </c>
      <c r="G35" s="403"/>
      <c r="H35" s="189">
        <f>Normtid!I26</f>
        <v>43911</v>
      </c>
      <c r="I35" s="190" t="str">
        <f t="shared" si="4"/>
        <v>Fre</v>
      </c>
      <c r="J35" s="192"/>
      <c r="K35" s="192"/>
      <c r="L35" s="192"/>
      <c r="M35" s="192"/>
      <c r="N35" s="383"/>
      <c r="O35" s="194" t="str">
        <f>Normtid!$K26</f>
        <v/>
      </c>
      <c r="P35" s="196">
        <f t="shared" ca="1" si="5"/>
        <v>0</v>
      </c>
    </row>
    <row r="36" spans="1:16" ht="15.75" customHeight="1">
      <c r="B36" s="462" t="str">
        <f t="shared" ca="1" si="0"/>
        <v/>
      </c>
      <c r="C36" s="463" t="str">
        <f t="shared" ca="1" si="1"/>
        <v/>
      </c>
      <c r="D36" s="388">
        <f t="shared" ca="1" si="2"/>
        <v>0</v>
      </c>
      <c r="E36" s="188">
        <f t="shared" ca="1" si="3"/>
        <v>0</v>
      </c>
      <c r="F36" s="183">
        <f ca="1">IF(AND(H36&gt;=startdag,H36&lt;=slutdag),IF(TODAY()&gt;=H36,Normtid!J27,0),0)</f>
        <v>0</v>
      </c>
      <c r="G36" s="403"/>
      <c r="H36" s="181">
        <f>Normtid!I27</f>
        <v>43912</v>
      </c>
      <c r="I36" s="182" t="str">
        <f t="shared" si="4"/>
        <v>Lör</v>
      </c>
      <c r="J36" s="184"/>
      <c r="K36" s="184"/>
      <c r="L36" s="184"/>
      <c r="M36" s="184"/>
      <c r="N36" s="379"/>
      <c r="O36" s="186" t="str">
        <f>Normtid!$K27</f>
        <v/>
      </c>
      <c r="P36" s="188">
        <f t="shared" ca="1" si="5"/>
        <v>0</v>
      </c>
    </row>
    <row r="37" spans="1:16" ht="15.75" customHeight="1">
      <c r="B37" s="460" t="str">
        <f t="shared" ca="1" si="0"/>
        <v/>
      </c>
      <c r="C37" s="461" t="str">
        <f t="shared" ca="1" si="1"/>
        <v/>
      </c>
      <c r="D37" s="195">
        <f t="shared" ca="1" si="2"/>
        <v>0</v>
      </c>
      <c r="E37" s="196">
        <f t="shared" ca="1" si="3"/>
        <v>0</v>
      </c>
      <c r="F37" s="191">
        <f ca="1">IF(AND(H37&gt;=startdag,H37&lt;=slutdag),IF(TODAY()&gt;=H37,Normtid!J28,0),0)</f>
        <v>0</v>
      </c>
      <c r="G37" s="403"/>
      <c r="H37" s="189">
        <f>Normtid!I28</f>
        <v>43913</v>
      </c>
      <c r="I37" s="190" t="str">
        <f t="shared" si="4"/>
        <v>Sön</v>
      </c>
      <c r="J37" s="192"/>
      <c r="K37" s="192"/>
      <c r="L37" s="192"/>
      <c r="M37" s="192"/>
      <c r="N37" s="383"/>
      <c r="O37" s="194" t="str">
        <f>Normtid!$K28</f>
        <v/>
      </c>
      <c r="P37" s="196">
        <f t="shared" ca="1" si="5"/>
        <v>0</v>
      </c>
    </row>
    <row r="38" spans="1:16" ht="15.75" customHeight="1">
      <c r="B38" s="462" t="str">
        <f t="shared" ca="1" si="0"/>
        <v/>
      </c>
      <c r="C38" s="463" t="str">
        <f t="shared" ca="1" si="1"/>
        <v/>
      </c>
      <c r="D38" s="388">
        <f t="shared" ca="1" si="2"/>
        <v>0</v>
      </c>
      <c r="E38" s="188">
        <f t="shared" ca="1" si="3"/>
        <v>0</v>
      </c>
      <c r="F38" s="183">
        <f ca="1">IF(AND(H38&gt;=startdag,H38&lt;=slutdag),IF(TODAY()&gt;=H38,Normtid!J29,0),0)</f>
        <v>0</v>
      </c>
      <c r="G38" s="403"/>
      <c r="H38" s="181">
        <f>Normtid!I29</f>
        <v>43914</v>
      </c>
      <c r="I38" s="182" t="str">
        <f t="shared" si="4"/>
        <v>Mån</v>
      </c>
      <c r="J38" s="184"/>
      <c r="K38" s="184"/>
      <c r="L38" s="184"/>
      <c r="M38" s="184"/>
      <c r="N38" s="379"/>
      <c r="O38" s="186" t="str">
        <f>Normtid!$K29</f>
        <v/>
      </c>
      <c r="P38" s="188">
        <f t="shared" ca="1" si="5"/>
        <v>0</v>
      </c>
    </row>
    <row r="39" spans="1:16" ht="15.75" customHeight="1">
      <c r="B39" s="460" t="str">
        <f t="shared" ca="1" si="0"/>
        <v/>
      </c>
      <c r="C39" s="461" t="str">
        <f t="shared" ca="1" si="1"/>
        <v/>
      </c>
      <c r="D39" s="195">
        <f t="shared" ca="1" si="2"/>
        <v>0</v>
      </c>
      <c r="E39" s="196">
        <f t="shared" ca="1" si="3"/>
        <v>0</v>
      </c>
      <c r="F39" s="191">
        <f ca="1">IF(AND(H39&gt;=startdag,H39&lt;=slutdag),IF(TODAY()&gt;=H39,Normtid!J30,0),0)</f>
        <v>0</v>
      </c>
      <c r="G39" s="403"/>
      <c r="H39" s="189">
        <f>Normtid!I30</f>
        <v>43915</v>
      </c>
      <c r="I39" s="190" t="str">
        <f t="shared" si="4"/>
        <v>Tis</v>
      </c>
      <c r="J39" s="192"/>
      <c r="K39" s="192"/>
      <c r="L39" s="192"/>
      <c r="M39" s="192"/>
      <c r="N39" s="383"/>
      <c r="O39" s="194" t="str">
        <f>Normtid!$K30</f>
        <v/>
      </c>
      <c r="P39" s="196">
        <f t="shared" ca="1" si="5"/>
        <v>0</v>
      </c>
    </row>
    <row r="40" spans="1:16" ht="15.75" customHeight="1">
      <c r="B40" s="462" t="str">
        <f t="shared" ca="1" si="0"/>
        <v/>
      </c>
      <c r="C40" s="463" t="str">
        <f t="shared" ca="1" si="1"/>
        <v/>
      </c>
      <c r="D40" s="388">
        <f t="shared" ca="1" si="2"/>
        <v>0</v>
      </c>
      <c r="E40" s="188">
        <f t="shared" ca="1" si="3"/>
        <v>0</v>
      </c>
      <c r="F40" s="183">
        <f ca="1">IF(AND(H40&gt;=startdag,H40&lt;=slutdag),IF(TODAY()&gt;=H40,Normtid!J31,0),0)</f>
        <v>0</v>
      </c>
      <c r="G40" s="403"/>
      <c r="H40" s="181">
        <f>Normtid!I31</f>
        <v>43916</v>
      </c>
      <c r="I40" s="182" t="str">
        <f t="shared" si="4"/>
        <v>Ons</v>
      </c>
      <c r="J40" s="184"/>
      <c r="K40" s="184"/>
      <c r="L40" s="184"/>
      <c r="M40" s="184"/>
      <c r="N40" s="379"/>
      <c r="O40" s="186" t="str">
        <f>Normtid!$K31</f>
        <v/>
      </c>
      <c r="P40" s="188">
        <f t="shared" ca="1" si="5"/>
        <v>0</v>
      </c>
    </row>
    <row r="41" spans="1:16" ht="15.75" customHeight="1">
      <c r="B41" s="460" t="str">
        <f t="shared" ca="1" si="0"/>
        <v/>
      </c>
      <c r="C41" s="461" t="str">
        <f t="shared" ca="1" si="1"/>
        <v/>
      </c>
      <c r="D41" s="195">
        <f t="shared" ca="1" si="2"/>
        <v>0</v>
      </c>
      <c r="E41" s="196">
        <f t="shared" ca="1" si="3"/>
        <v>0</v>
      </c>
      <c r="F41" s="191">
        <f ca="1">IF(AND(H41&gt;=startdag,H41&lt;=slutdag),IF(TODAY()&gt;=H41,Normtid!J32,0),0)</f>
        <v>0</v>
      </c>
      <c r="G41" s="403"/>
      <c r="H41" s="189">
        <f>Normtid!I32</f>
        <v>43917</v>
      </c>
      <c r="I41" s="190" t="str">
        <f t="shared" si="4"/>
        <v>Tor</v>
      </c>
      <c r="J41" s="192"/>
      <c r="K41" s="192"/>
      <c r="L41" s="192"/>
      <c r="M41" s="192"/>
      <c r="N41" s="383"/>
      <c r="O41" s="194" t="str">
        <f>Normtid!$K32</f>
        <v>Skärtorsdagen</v>
      </c>
      <c r="P41" s="196">
        <f t="shared" ca="1" si="5"/>
        <v>0</v>
      </c>
    </row>
    <row r="42" spans="1:16" ht="15.75" customHeight="1">
      <c r="B42" s="462" t="str">
        <f t="shared" ca="1" si="0"/>
        <v/>
      </c>
      <c r="C42" s="463" t="str">
        <f t="shared" ca="1" si="1"/>
        <v/>
      </c>
      <c r="D42" s="388">
        <f t="shared" ca="1" si="2"/>
        <v>0</v>
      </c>
      <c r="E42" s="188">
        <f t="shared" ca="1" si="3"/>
        <v>0</v>
      </c>
      <c r="F42" s="183">
        <f ca="1">IF(AND(H42&gt;=startdag,H42&lt;=slutdag),IF(TODAY()&gt;=H42,Normtid!J33,0),0)</f>
        <v>0</v>
      </c>
      <c r="G42" s="403"/>
      <c r="H42" s="181">
        <f>Normtid!I33</f>
        <v>43918</v>
      </c>
      <c r="I42" s="182" t="str">
        <f t="shared" si="4"/>
        <v>Fre</v>
      </c>
      <c r="J42" s="184"/>
      <c r="K42" s="184"/>
      <c r="L42" s="184"/>
      <c r="M42" s="184"/>
      <c r="N42" s="379"/>
      <c r="O42" s="186" t="str">
        <f>Normtid!$K33</f>
        <v>Långfredagen</v>
      </c>
      <c r="P42" s="188">
        <f t="shared" ca="1" si="5"/>
        <v>0</v>
      </c>
    </row>
    <row r="43" spans="1:16" ht="15.75" customHeight="1">
      <c r="B43" s="460" t="str">
        <f t="shared" ca="1" si="0"/>
        <v/>
      </c>
      <c r="C43" s="461" t="str">
        <f t="shared" ca="1" si="1"/>
        <v/>
      </c>
      <c r="D43" s="195">
        <f t="shared" ca="1" si="2"/>
        <v>0</v>
      </c>
      <c r="E43" s="196">
        <f t="shared" ca="1" si="3"/>
        <v>0</v>
      </c>
      <c r="F43" s="191">
        <f ca="1">IF(AND(H43&gt;=startdag,H43&lt;=slutdag),IF(TODAY()&gt;=H43,Normtid!J34,0),0)</f>
        <v>0</v>
      </c>
      <c r="G43" s="403"/>
      <c r="H43" s="189">
        <f>Normtid!I34</f>
        <v>43919</v>
      </c>
      <c r="I43" s="190" t="str">
        <f t="shared" si="4"/>
        <v>Lör</v>
      </c>
      <c r="J43" s="192"/>
      <c r="K43" s="192"/>
      <c r="L43" s="192"/>
      <c r="M43" s="192"/>
      <c r="N43" s="383"/>
      <c r="O43" s="194" t="str">
        <f>Normtid!$K34</f>
        <v>Påskafton</v>
      </c>
      <c r="P43" s="196">
        <f t="shared" ca="1" si="5"/>
        <v>0</v>
      </c>
    </row>
    <row r="44" spans="1:16" ht="15.75" customHeight="1">
      <c r="B44" s="464" t="str">
        <f t="shared" ca="1" si="0"/>
        <v/>
      </c>
      <c r="C44" s="465" t="str">
        <f t="shared" ca="1" si="1"/>
        <v/>
      </c>
      <c r="D44" s="389">
        <f t="shared" ca="1" si="2"/>
        <v>0</v>
      </c>
      <c r="E44" s="91">
        <f t="shared" ca="1" si="3"/>
        <v>0</v>
      </c>
      <c r="F44" s="220">
        <f ca="1">IF(AND(H44&gt;=startdag,H44&lt;=slutdag),IF(TODAY()&gt;=H44,Normtid!J35,0),0)</f>
        <v>0</v>
      </c>
      <c r="G44" s="403"/>
      <c r="H44" s="210">
        <f>Normtid!I35</f>
        <v>43920</v>
      </c>
      <c r="I44" s="211" t="str">
        <f t="shared" si="4"/>
        <v>Sön</v>
      </c>
      <c r="J44" s="221"/>
      <c r="K44" s="221"/>
      <c r="L44" s="221"/>
      <c r="M44" s="221"/>
      <c r="N44" s="382"/>
      <c r="O44" s="222" t="str">
        <f>Normtid!$K35</f>
        <v>Påskdagen</v>
      </c>
      <c r="P44" s="91">
        <f t="shared" ca="1" si="5"/>
        <v>0</v>
      </c>
    </row>
    <row r="45" spans="1:16" ht="15.75" customHeight="1" thickBot="1">
      <c r="A45" s="17"/>
      <c r="B45" s="17"/>
      <c r="C45" s="336"/>
      <c r="D45" s="80"/>
      <c r="E45" s="80"/>
      <c r="F45" s="80"/>
      <c r="G45" s="80"/>
      <c r="H45" s="80"/>
      <c r="I45" s="80"/>
      <c r="J45" s="81"/>
      <c r="K45" s="80"/>
      <c r="L45" s="80"/>
      <c r="M45" s="80"/>
      <c r="N45" s="80"/>
      <c r="O45" s="80"/>
      <c r="P45" s="80"/>
    </row>
    <row r="46" spans="1:16" ht="12.9">
      <c r="A46" s="548" t="str">
        <f>Felinfo!H10</f>
        <v>Flex 99:03C • huk-51 • ©</v>
      </c>
      <c r="C46" s="314"/>
      <c r="D46" s="64"/>
      <c r="E46" s="64"/>
      <c r="F46" s="17"/>
      <c r="G46" s="17"/>
      <c r="H46" s="51" t="str">
        <f ca="1">"Summa arbetad tid"&amp;IF(MONTH(H14)=MONTH(TODAY())," t o m ""i dag""","")</f>
        <v>Summa arbetad tid</v>
      </c>
      <c r="I46" s="52"/>
      <c r="J46" s="53"/>
      <c r="K46" s="53"/>
      <c r="L46" s="53"/>
      <c r="M46" s="53"/>
      <c r="N46" s="54"/>
      <c r="O46" s="52"/>
      <c r="P46" s="197">
        <f ca="1">IF(TODAY()&gt;=H14,SUMIF(P14:P44,"&gt;0"),0)</f>
        <v>0</v>
      </c>
    </row>
    <row r="47" spans="1:16" ht="14.25" customHeight="1">
      <c r="A47" s="555"/>
      <c r="C47" s="314"/>
      <c r="D47" s="60"/>
      <c r="E47" s="60"/>
      <c r="F47" s="17"/>
      <c r="G47" s="17"/>
      <c r="H47" s="56" t="str">
        <f ca="1">IF(MONTH(H14)=MONTH(TODAY()),"Månadens normalarbetstid t o m idag","Normalarbetstid för månaden")&amp;IF(AND(MONTH(TODAY())&gt;=MONTH(H14),N8&lt;&gt;1)," (normtid "&amp;SUM(F14:F44)&amp;" tim * tjänsteomfattning "&amp;TEXT(N8*1000,"## %)"),"")</f>
        <v>Normalarbetstid för månaden</v>
      </c>
      <c r="I47" s="17"/>
      <c r="J47" s="57"/>
      <c r="K47" s="57"/>
      <c r="L47" s="57"/>
      <c r="M47" s="57"/>
      <c r="N47" s="58"/>
      <c r="O47" s="223"/>
      <c r="P47" s="198">
        <f ca="1">IF(AND(TODAY()&gt;=H14,MONTH(H14)&gt;=MONTH(Grunddata!C22)),SUM(F14:F44)*N8,0)</f>
        <v>0</v>
      </c>
    </row>
    <row r="48" spans="1:16" ht="14.25" customHeight="1">
      <c r="A48" s="555"/>
      <c r="C48" s="314"/>
      <c r="D48" s="64"/>
      <c r="E48" s="64"/>
      <c r="F48" s="17"/>
      <c r="G48" s="17"/>
      <c r="H48" s="56" t="s">
        <v>35</v>
      </c>
      <c r="I48" s="17"/>
      <c r="J48" s="57"/>
      <c r="K48" s="61"/>
      <c r="L48" s="62"/>
      <c r="M48" s="63"/>
      <c r="N48" s="63"/>
      <c r="O48" s="63"/>
      <c r="P48" s="308">
        <f ca="1">IF(TODAY()&gt;=H14,IF(AND(MONTH(H14)=MONTH(Grunddata!C22),flyttsaldo&lt;&gt;0),flyttsaldo,FEB!P50),0)</f>
        <v>0</v>
      </c>
    </row>
    <row r="49" spans="1:16" ht="14.25" customHeight="1">
      <c r="A49" s="555"/>
      <c r="C49" s="314"/>
      <c r="D49" s="64"/>
      <c r="E49" s="64"/>
      <c r="F49" s="17"/>
      <c r="G49" s="17"/>
      <c r="H49" s="56" t="str">
        <f>IF(tjänst=1,"Över","Mer")&amp;"tidstimmar (ersättning utbetalad med "&amp;TEXT(H14,"MMMM")&amp;"lönen)"</f>
        <v>Övertidstimmar (ersättning utbetalad med marslönen)</v>
      </c>
      <c r="I49" s="17"/>
      <c r="J49" s="57"/>
      <c r="K49" s="61"/>
      <c r="L49" s="62"/>
      <c r="M49" s="63"/>
      <c r="N49" s="63"/>
      <c r="O49" s="63"/>
      <c r="P49" s="372"/>
    </row>
    <row r="50" spans="1:16" ht="14.25" customHeight="1">
      <c r="A50" s="555"/>
      <c r="C50" s="314"/>
      <c r="D50" s="64"/>
      <c r="E50" s="64"/>
      <c r="F50" s="17"/>
      <c r="G50" s="17"/>
      <c r="H50" s="65" t="str">
        <f ca="1">IF(MONTH(H14)=MONTH(TODAY()),"Dagens saldo +/-","Nytt saldo +/-")</f>
        <v>Nytt saldo +/-</v>
      </c>
      <c r="I50" s="66"/>
      <c r="J50" s="67"/>
      <c r="K50" s="68"/>
      <c r="L50" s="69"/>
      <c r="M50" s="69"/>
      <c r="N50" s="69"/>
      <c r="O50" s="69"/>
      <c r="P50" s="469">
        <f ca="1">IF(TODAY()&gt;=H14,P46-P47+P48-ABS(P49),0)</f>
        <v>0</v>
      </c>
    </row>
    <row r="51" spans="1:16" ht="14.25" customHeight="1" thickBot="1">
      <c r="A51" s="555"/>
      <c r="C51" s="314"/>
      <c r="D51" s="64"/>
      <c r="E51" s="64"/>
      <c r="F51" s="17"/>
      <c r="G51" s="17"/>
      <c r="H51" s="71" t="s">
        <v>29</v>
      </c>
      <c r="I51" s="72"/>
      <c r="J51" s="73"/>
      <c r="K51" s="74">
        <f ca="1">IF(L51&gt;0,"månadens: ",)</f>
        <v>0</v>
      </c>
      <c r="L51" s="75">
        <f ca="1">MOD(SUM(D14:D44),100)</f>
        <v>0</v>
      </c>
      <c r="M51" s="76">
        <f ca="1">IF(N51&gt;0,"årets: ",)</f>
        <v>0</v>
      </c>
      <c r="N51" s="75">
        <f ca="1">'2024'!K16</f>
        <v>0</v>
      </c>
      <c r="O51" s="77" t="str">
        <f ca="1">"  kvarstående:  "&amp;'2024'!$L16</f>
        <v xml:space="preserve">  kvarstående:  0</v>
      </c>
      <c r="P51" s="79"/>
    </row>
    <row r="52" spans="1:16" ht="12" customHeight="1">
      <c r="A52" s="555"/>
      <c r="C52" s="314"/>
      <c r="F52" s="466"/>
      <c r="G52" s="466"/>
      <c r="H52" s="427" t="s">
        <v>75</v>
      </c>
      <c r="I52" s="428"/>
      <c r="J52" s="429"/>
      <c r="K52" s="430" t="s">
        <v>27</v>
      </c>
      <c r="L52" s="431"/>
      <c r="M52" s="431"/>
      <c r="N52" s="432"/>
      <c r="O52" s="433"/>
      <c r="P52" s="434"/>
    </row>
    <row r="53" spans="1:16" ht="27.75" customHeight="1" thickBot="1">
      <c r="A53" s="555"/>
      <c r="F53" s="467"/>
      <c r="G53" s="467"/>
      <c r="H53" s="561"/>
      <c r="I53" s="564"/>
      <c r="J53" s="565"/>
      <c r="K53" s="7"/>
      <c r="L53" s="7"/>
      <c r="M53" s="7"/>
      <c r="N53" s="9"/>
      <c r="O53" s="3"/>
      <c r="P53" s="4"/>
    </row>
    <row r="54" spans="1:16" ht="12" customHeight="1" thickBot="1"/>
    <row r="55" spans="1:16" ht="12" customHeight="1">
      <c r="F55" s="125"/>
      <c r="G55" s="125"/>
      <c r="H55" s="5" t="s">
        <v>19</v>
      </c>
      <c r="I55" s="5"/>
      <c r="J55" s="427" t="s">
        <v>75</v>
      </c>
      <c r="K55" s="429"/>
      <c r="L55" s="430" t="s">
        <v>26</v>
      </c>
      <c r="M55" s="431"/>
      <c r="N55" s="432"/>
      <c r="O55" s="433"/>
      <c r="P55" s="435"/>
    </row>
    <row r="56" spans="1:16" ht="27.75" customHeight="1" thickBot="1">
      <c r="F56" s="125"/>
      <c r="G56" s="125"/>
      <c r="J56" s="11"/>
      <c r="K56" s="10"/>
      <c r="L56" s="7"/>
      <c r="M56" s="7"/>
      <c r="N56" s="9"/>
      <c r="O56" s="3"/>
      <c r="P56" s="4"/>
    </row>
    <row r="59" spans="1:16">
      <c r="C59" s="318"/>
      <c r="D59" s="64"/>
      <c r="E59" s="64"/>
      <c r="F59" s="17"/>
      <c r="G59" s="17"/>
    </row>
    <row r="60" spans="1:16">
      <c r="C60" s="318"/>
      <c r="D60" s="64"/>
      <c r="E60" s="64"/>
      <c r="F60" s="17"/>
      <c r="G60" s="17"/>
    </row>
    <row r="61" spans="1:16">
      <c r="C61" s="318"/>
      <c r="D61" s="64"/>
      <c r="E61" s="64"/>
      <c r="F61" s="17"/>
      <c r="G61" s="17"/>
    </row>
    <row r="62" spans="1:16">
      <c r="C62" s="318"/>
      <c r="D62" s="64"/>
      <c r="E62" s="64"/>
      <c r="F62" s="17"/>
      <c r="G62" s="17"/>
    </row>
  </sheetData>
  <sheetProtection password="C38D" sheet="1" objects="1" scenarios="1"/>
  <mergeCells count="4">
    <mergeCell ref="A46:A53"/>
    <mergeCell ref="B10:C10"/>
    <mergeCell ref="J13:O13"/>
    <mergeCell ref="H53:J53"/>
  </mergeCells>
  <phoneticPr fontId="0" type="noConversion"/>
  <conditionalFormatting sqref="A14">
    <cfRule type="cellIs" dxfId="19" priority="1" stopIfTrue="1" operator="greaterThan">
      <formula>0</formula>
    </cfRule>
  </conditionalFormatting>
  <conditionalFormatting sqref="J45 L48:L49">
    <cfRule type="cellIs" dxfId="18" priority="2" stopIfTrue="1" operator="greaterThan">
      <formula>0</formula>
    </cfRule>
  </conditionalFormatting>
  <dataValidations count="2">
    <dataValidation type="time" allowBlank="1" showInputMessage="1" showErrorMessage="1" error="Timme och minut måste skiljas med_x000a_- kolon på pc_x000a_- punkt på Mac" sqref="J15:M44" xr:uid="{00000000-0002-0000-0800-000000000000}">
      <formula1>0</formula1>
      <formula2>0.999305555555556</formula2>
    </dataValidation>
    <dataValidation allowBlank="1" showInputMessage="1" showErrorMessage="1" error="Timme och minut måste skiljas med_x000a_- kolon på pc_x000a_- punkt på Mac" sqref="L5 J14:M14" xr:uid="{00000000-0002-0000-0800-000001000000}"/>
  </dataValidations>
  <printOptions verticalCentered="1"/>
  <pageMargins left="0.6692913385826772" right="0.47244094488188981" top="0.78740157480314965" bottom="0.62992125984251968" header="0.51181102362204722" footer="0.51181102362204722"/>
  <pageSetup paperSize="9" scale="87" orientation="portrait" blackAndWhite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18</vt:i4>
      </vt:variant>
      <vt:variant>
        <vt:lpstr>Namngivna områden</vt:lpstr>
      </vt:variant>
      <vt:variant>
        <vt:i4>17</vt:i4>
      </vt:variant>
    </vt:vector>
  </HeadingPairs>
  <TitlesOfParts>
    <vt:vector size="35" baseType="lpstr">
      <vt:lpstr>Grunddata</vt:lpstr>
      <vt:lpstr>Fridag</vt:lpstr>
      <vt:lpstr>Felinfo</vt:lpstr>
      <vt:lpstr>Normtid</vt:lpstr>
      <vt:lpstr>Exempel</vt:lpstr>
      <vt:lpstr>2024</vt:lpstr>
      <vt:lpstr>JAN</vt:lpstr>
      <vt:lpstr>FEB</vt:lpstr>
      <vt:lpstr>MARS</vt:lpstr>
      <vt:lpstr>APRIL</vt:lpstr>
      <vt:lpstr>MAJ</vt:lpstr>
      <vt:lpstr>JUNI</vt:lpstr>
      <vt:lpstr>JULI</vt:lpstr>
      <vt:lpstr>AUG</vt:lpstr>
      <vt:lpstr>SEP</vt:lpstr>
      <vt:lpstr>OKT</vt:lpstr>
      <vt:lpstr>NOV</vt:lpstr>
      <vt:lpstr>DEC</vt:lpstr>
      <vt:lpstr>flex_över</vt:lpstr>
      <vt:lpstr>flexmax</vt:lpstr>
      <vt:lpstr>flyttsaldo</vt:lpstr>
      <vt:lpstr>inst</vt:lpstr>
      <vt:lpstr>namn</vt:lpstr>
      <vt:lpstr>normtid</vt:lpstr>
      <vt:lpstr>p_nr</vt:lpstr>
      <vt:lpstr>semfel_1</vt:lpstr>
      <vt:lpstr>semfel_2</vt:lpstr>
      <vt:lpstr>slutdag</vt:lpstr>
      <vt:lpstr>startdag</vt:lpstr>
      <vt:lpstr>tjänst</vt:lpstr>
      <vt:lpstr>Exempel!Utskriftsområde</vt:lpstr>
      <vt:lpstr>Normtid!Utskriftsrubriker</vt:lpstr>
      <vt:lpstr>årssemester</vt:lpstr>
      <vt:lpstr>årtal</vt:lpstr>
      <vt:lpstr>ändr_fel</vt:lpstr>
    </vt:vector>
  </TitlesOfParts>
  <Company>Företagsekonomiska inst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Flextidsark</dc:title>
  <dc:creator>Hans-Ulrik Karlén</dc:creator>
  <dc:description>Flextidsmall efter idé av P-E Persson_x000d_- 990223: redigerad/formelkompletterad_x000d_- 021213: färg + nytt sätt lägga in normtid &amp; helg-/kläm dagar_x000d_- 031214: rad för avdrag över-/mertid_x000d_- 041116: hjälpkolumner flyttade till kol A-G</dc:description>
  <cp:lastModifiedBy>Stefan Bystedt</cp:lastModifiedBy>
  <cp:lastPrinted>2020-11-03T15:03:19Z</cp:lastPrinted>
  <dcterms:created xsi:type="dcterms:W3CDTF">1998-11-15T12:35:19Z</dcterms:created>
  <dcterms:modified xsi:type="dcterms:W3CDTF">2023-12-15T12:33:16Z</dcterms:modified>
</cp:coreProperties>
</file>